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NCFS20\Administration\FINANCE DEPARTMENT\CIP - County Incentive Program\Part 1 - Accountability and Transparency\FY2022\"/>
    </mc:Choice>
  </mc:AlternateContent>
  <xr:revisionPtr revIDLastSave="0" documentId="13_ncr:1_{8E2AE4FA-1E26-4AA5-8DB7-F0879FA0E37A}" xr6:coauthVersionLast="47" xr6:coauthVersionMax="47" xr10:uidLastSave="{00000000-0000-0000-0000-000000000000}"/>
  <workbookProtection lockStructure="1"/>
  <bookViews>
    <workbookView xWindow="28680" yWindow="-120" windowWidth="29040" windowHeight="15840" tabRatio="401" firstSheet="2" activeTab="2" xr2:uid="{00000000-000D-0000-FFFF-FFFF00000000}"/>
  </bookViews>
  <sheets>
    <sheet name="Instructions" sheetId="1" state="hidden" r:id="rId1"/>
    <sheet name="Data Input" sheetId="2" state="hidden" r:id="rId2"/>
    <sheet name="Rev" sheetId="3" r:id="rId3"/>
    <sheet name="Exp" sheetId="4" r:id="rId4"/>
    <sheet name="Position" sheetId="5" r:id="rId5"/>
    <sheet name="Obligations" sheetId="6" r:id="rId6"/>
    <sheet name="F-65 Cross-walk" sheetId="7" state="hidden" r:id="rId7"/>
    <sheet name="Breakdown of Public Safety" sheetId="14" state="hidden" r:id="rId8"/>
  </sheets>
  <definedNames>
    <definedName name="Citizens_Guide_Instructions" localSheetId="0">Instructions!$A$1:$AV$66</definedName>
    <definedName name="_xlnm.Print_Area" localSheetId="1">'Data Input'!$B$1:$V$81</definedName>
    <definedName name="_xlnm.Print_Area" localSheetId="3">Exp!$A$1:$O$43</definedName>
    <definedName name="_xlnm.Print_Area" localSheetId="5">Obligations!$A$1:$T$39</definedName>
    <definedName name="_xlnm.Print_Area" localSheetId="4">Position!$A$1:$N$40</definedName>
    <definedName name="_xlnm.Print_Area" localSheetId="2">Rev!$A$1:$N$40</definedName>
    <definedName name="_xlnm.Print_Titles" localSheetId="1">'Data Input'!$3:$3</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4" l="1"/>
  <c r="M15" i="4"/>
  <c r="M14" i="4"/>
  <c r="M13" i="4"/>
  <c r="M12" i="4"/>
  <c r="M11" i="4"/>
  <c r="M10" i="4"/>
  <c r="M9" i="4"/>
  <c r="M8" i="4"/>
  <c r="M7" i="4"/>
  <c r="M6" i="4"/>
  <c r="M15" i="3"/>
  <c r="M14" i="3"/>
  <c r="M13" i="3"/>
  <c r="M12" i="3"/>
  <c r="M11" i="3"/>
  <c r="M10" i="3"/>
  <c r="M9" i="3"/>
  <c r="M8" i="3"/>
  <c r="M7" i="3"/>
  <c r="M6" i="3"/>
  <c r="R61" i="2"/>
  <c r="Q61" i="2"/>
  <c r="M10" i="5"/>
  <c r="M9" i="5"/>
  <c r="M8" i="5"/>
  <c r="M7" i="5"/>
  <c r="T39" i="2"/>
  <c r="T37" i="2"/>
  <c r="T36" i="2"/>
  <c r="U47" i="2"/>
  <c r="U46" i="2"/>
  <c r="U45" i="2"/>
  <c r="U44" i="2"/>
  <c r="U43" i="2"/>
  <c r="U42" i="2"/>
  <c r="V47" i="2"/>
  <c r="V46" i="2"/>
  <c r="V45" i="2"/>
  <c r="V44" i="2"/>
  <c r="V43" i="2"/>
  <c r="V42" i="2"/>
  <c r="V78" i="2"/>
  <c r="V74" i="2"/>
  <c r="V73" i="2"/>
  <c r="V70" i="2"/>
  <c r="V59" i="2"/>
  <c r="V58" i="2"/>
  <c r="V53" i="2"/>
  <c r="V54" i="2"/>
  <c r="B37" i="14"/>
  <c r="B36" i="14"/>
  <c r="B15" i="14"/>
  <c r="K10" i="5" l="1"/>
  <c r="L9" i="5"/>
  <c r="L7" i="5"/>
  <c r="K9" i="5"/>
  <c r="K8" i="5"/>
  <c r="K7" i="5"/>
  <c r="L15" i="4"/>
  <c r="L14" i="4"/>
  <c r="L13" i="4"/>
  <c r="L12" i="4"/>
  <c r="L11" i="4"/>
  <c r="L10" i="4"/>
  <c r="L9" i="4"/>
  <c r="L8" i="4"/>
  <c r="L7" i="4"/>
  <c r="L6" i="4"/>
  <c r="K15" i="4"/>
  <c r="K14" i="4"/>
  <c r="K13" i="4"/>
  <c r="K12" i="4"/>
  <c r="K11" i="4"/>
  <c r="K10" i="4"/>
  <c r="K9" i="4"/>
  <c r="K8" i="4"/>
  <c r="K7" i="4"/>
  <c r="K6" i="4"/>
  <c r="L14" i="3"/>
  <c r="L13" i="3"/>
  <c r="L12" i="3"/>
  <c r="L11" i="3"/>
  <c r="L10" i="3"/>
  <c r="L9" i="3"/>
  <c r="L8" i="3"/>
  <c r="L7" i="3"/>
  <c r="L6" i="3"/>
  <c r="K14" i="3"/>
  <c r="K13" i="3"/>
  <c r="K12" i="3"/>
  <c r="K11" i="3"/>
  <c r="K10" i="3"/>
  <c r="K9" i="3"/>
  <c r="K8" i="3"/>
  <c r="K7" i="3"/>
  <c r="K6" i="3"/>
  <c r="S78" i="2" l="1"/>
  <c r="T92" i="2"/>
  <c r="T94" i="2"/>
  <c r="T70" i="2"/>
  <c r="T25" i="2"/>
  <c r="V25" i="2"/>
  <c r="T17" i="2"/>
  <c r="V17" i="2" s="1"/>
  <c r="T14" i="2"/>
  <c r="V14" i="2" s="1"/>
  <c r="T47" i="2"/>
  <c r="T64" i="2"/>
  <c r="V64" i="2" s="1"/>
  <c r="T63" i="2"/>
  <c r="V63" i="2" s="1"/>
  <c r="T60" i="2"/>
  <c r="V60" i="2" s="1"/>
  <c r="T61" i="2"/>
  <c r="U74" i="2"/>
  <c r="U70" i="2"/>
  <c r="U59" i="2"/>
  <c r="U58" i="2"/>
  <c r="U53" i="2"/>
  <c r="U54" i="2"/>
  <c r="V52" i="2"/>
  <c r="U52" i="2"/>
  <c r="U18" i="2"/>
  <c r="V18" i="2"/>
  <c r="U19" i="2"/>
  <c r="V19" i="2"/>
  <c r="U20" i="2"/>
  <c r="V20" i="2"/>
  <c r="U21" i="2"/>
  <c r="V21" i="2"/>
  <c r="U22" i="2"/>
  <c r="V22" i="2"/>
  <c r="U23" i="2"/>
  <c r="V23" i="2"/>
  <c r="U24" i="2"/>
  <c r="V24" i="2"/>
  <c r="U25" i="2"/>
  <c r="U26" i="2"/>
  <c r="V26" i="2"/>
  <c r="U27" i="2"/>
  <c r="U28" i="2"/>
  <c r="U17" i="2"/>
  <c r="V7" i="2"/>
  <c r="V8" i="2"/>
  <c r="V9" i="2"/>
  <c r="V10" i="2"/>
  <c r="V11" i="2"/>
  <c r="V12" i="2"/>
  <c r="V13" i="2"/>
  <c r="V6" i="2"/>
  <c r="U15" i="2"/>
  <c r="U7" i="2"/>
  <c r="U8" i="2"/>
  <c r="U9" i="2"/>
  <c r="U10" i="2"/>
  <c r="U11" i="2"/>
  <c r="U12" i="2"/>
  <c r="U13" i="2"/>
  <c r="U14" i="2"/>
  <c r="U6" i="2"/>
  <c r="T66" i="2" l="1"/>
  <c r="T65" i="2"/>
  <c r="V65" i="2" s="1"/>
  <c r="T73" i="2"/>
  <c r="T27" i="2"/>
  <c r="T15" i="2"/>
  <c r="V15" i="2" s="1"/>
  <c r="S70" i="2"/>
  <c r="S25" i="2"/>
  <c r="S17" i="2"/>
  <c r="S14" i="2"/>
  <c r="S64" i="2"/>
  <c r="U64" i="2" s="1"/>
  <c r="S63" i="2"/>
  <c r="U63" i="2" s="1"/>
  <c r="S61" i="2"/>
  <c r="S36" i="2"/>
  <c r="V27" i="2" l="1"/>
  <c r="L8" i="5"/>
  <c r="T78" i="2"/>
  <c r="T28" i="2"/>
  <c r="S66" i="2"/>
  <c r="S65" i="2"/>
  <c r="U65" i="2" s="1"/>
  <c r="L10" i="5" l="1"/>
  <c r="V28" i="2"/>
  <c r="S92" i="2"/>
  <c r="S94" i="2"/>
  <c r="S73" i="2"/>
  <c r="U73" i="2" s="1"/>
  <c r="S60" i="2"/>
  <c r="U60" i="2" s="1"/>
  <c r="S47" i="2"/>
  <c r="S27" i="2"/>
  <c r="S15" i="2"/>
  <c r="U78" i="2" l="1"/>
  <c r="S28" i="2"/>
  <c r="O59" i="2"/>
  <c r="N59" i="2"/>
  <c r="M59" i="2"/>
  <c r="L59" i="2"/>
  <c r="K59" i="2"/>
  <c r="J59" i="2"/>
  <c r="S37" i="2" l="1"/>
  <c r="S39" i="2" s="1"/>
  <c r="F60" i="2"/>
  <c r="R92" i="2" l="1"/>
  <c r="R70" i="2"/>
  <c r="R63" i="2"/>
  <c r="R64" i="2"/>
  <c r="R60" i="2"/>
  <c r="R47" i="2"/>
  <c r="R36" i="2"/>
  <c r="B34" i="14"/>
  <c r="B8" i="14"/>
  <c r="B6" i="14"/>
  <c r="R25" i="2"/>
  <c r="R17" i="2"/>
  <c r="R94" i="2" s="1"/>
  <c r="R14" i="2"/>
  <c r="R73" i="2" l="1"/>
  <c r="R66" i="2"/>
  <c r="R27" i="2"/>
  <c r="R15" i="2"/>
  <c r="R65" i="2"/>
  <c r="R78" i="2"/>
  <c r="B38" i="14"/>
  <c r="Q92" i="2"/>
  <c r="Q70" i="2"/>
  <c r="R28" i="2" l="1"/>
  <c r="Q73" i="2"/>
  <c r="Q60" i="2"/>
  <c r="Q63" i="2"/>
  <c r="Q64" i="2"/>
  <c r="Q47" i="2"/>
  <c r="Q25" i="2"/>
  <c r="Q36" i="2"/>
  <c r="Q17" i="2"/>
  <c r="Q94" i="2" s="1"/>
  <c r="Q14" i="2"/>
  <c r="Q15" i="2" l="1"/>
  <c r="Q78" i="2"/>
  <c r="R37" i="2"/>
  <c r="R39" i="2" s="1"/>
  <c r="Q27" i="2"/>
  <c r="L15" i="3"/>
  <c r="Q66" i="2"/>
  <c r="Q65" i="2"/>
  <c r="P55" i="2"/>
  <c r="P61" i="2"/>
  <c r="P60" i="2"/>
  <c r="Q28" i="2" l="1"/>
  <c r="P36" i="2"/>
  <c r="Q37" i="2" l="1"/>
  <c r="P25" i="2"/>
  <c r="P17" i="2"/>
  <c r="P14" i="2"/>
  <c r="P92" i="2"/>
  <c r="P94" i="2"/>
  <c r="P73" i="2"/>
  <c r="P63" i="2"/>
  <c r="P64" i="2"/>
  <c r="P47" i="2"/>
  <c r="P15" i="2" l="1"/>
  <c r="K15" i="3"/>
  <c r="P27" i="2"/>
  <c r="P28" i="2" s="1"/>
  <c r="Q39" i="2"/>
  <c r="P78" i="2"/>
  <c r="P65" i="2"/>
  <c r="P66" i="2"/>
  <c r="O55" i="2"/>
  <c r="O63" i="2"/>
  <c r="O70" i="2"/>
  <c r="O73" i="2" s="1"/>
  <c r="O78" i="2" s="1"/>
  <c r="P37" i="2" l="1"/>
  <c r="O25" i="2"/>
  <c r="O17" i="2"/>
  <c r="O27" i="2" s="1"/>
  <c r="O14" i="2"/>
  <c r="O36" i="2"/>
  <c r="O47" i="2"/>
  <c r="O92" i="2"/>
  <c r="O64" i="2"/>
  <c r="O65" i="2" s="1"/>
  <c r="O60" i="2"/>
  <c r="O61" i="2"/>
  <c r="K36" i="2"/>
  <c r="P39" i="2" l="1"/>
  <c r="O94" i="2"/>
  <c r="O15" i="2"/>
  <c r="O66" i="2"/>
  <c r="O28" i="2" l="1"/>
  <c r="O37" i="2" s="1"/>
  <c r="M92" i="2"/>
  <c r="C94" i="2"/>
  <c r="C92" i="2"/>
  <c r="J92" i="2"/>
  <c r="K92" i="2"/>
  <c r="L92" i="2"/>
  <c r="O39" i="2" l="1"/>
  <c r="N92" i="2" l="1"/>
  <c r="N70" i="2"/>
  <c r="N63" i="2"/>
  <c r="N64" i="2"/>
  <c r="N60" i="2"/>
  <c r="N61" i="2"/>
  <c r="N47" i="2"/>
  <c r="N36" i="2"/>
  <c r="N25" i="2"/>
  <c r="M25" i="2"/>
  <c r="N17" i="2"/>
  <c r="N94" i="2" s="1"/>
  <c r="N14" i="2"/>
  <c r="M14" i="2"/>
  <c r="N27" i="2" l="1"/>
  <c r="N65" i="2"/>
  <c r="N73" i="2"/>
  <c r="N15" i="2"/>
  <c r="N66" i="2"/>
  <c r="N78" i="2" l="1"/>
  <c r="N28" i="2"/>
  <c r="K16" i="4"/>
  <c r="M63" i="2"/>
  <c r="M64" i="2"/>
  <c r="M60" i="2"/>
  <c r="M61" i="2"/>
  <c r="M70" i="2"/>
  <c r="M73" i="2" s="1"/>
  <c r="M47" i="2"/>
  <c r="N37" i="2" l="1"/>
  <c r="M78" i="2"/>
  <c r="M65" i="2"/>
  <c r="M66" i="2"/>
  <c r="N39" i="2" l="1"/>
  <c r="M36" i="2"/>
  <c r="M17" i="2"/>
  <c r="M27" i="2" s="1"/>
  <c r="M94" i="2" l="1"/>
  <c r="M15" i="2"/>
  <c r="M28" i="2" s="1"/>
  <c r="M37" i="2" s="1"/>
  <c r="J61" i="2"/>
  <c r="J60" i="2"/>
  <c r="M39" i="2" l="1"/>
  <c r="L55" i="2"/>
  <c r="K61" i="2" l="1"/>
  <c r="K60" i="2"/>
  <c r="J47" i="2"/>
  <c r="I47" i="2"/>
  <c r="H47" i="2"/>
  <c r="G47" i="2"/>
  <c r="F47" i="2"/>
  <c r="E47" i="2"/>
  <c r="J45" i="2"/>
  <c r="I45" i="2"/>
  <c r="H45" i="2"/>
  <c r="G45" i="2"/>
  <c r="F45" i="2"/>
  <c r="E45" i="2"/>
  <c r="L47" i="2" l="1"/>
  <c r="K47" i="2"/>
  <c r="L36" i="2"/>
  <c r="L91" i="2" l="1"/>
  <c r="L70" i="2" l="1"/>
  <c r="K70" i="2"/>
  <c r="K63" i="2"/>
  <c r="L63" i="2"/>
  <c r="L64" i="2"/>
  <c r="K64" i="2"/>
  <c r="J64" i="2"/>
  <c r="J55" i="2"/>
  <c r="L66" i="2" l="1"/>
  <c r="L73" i="2"/>
  <c r="L78" i="2" s="1"/>
  <c r="L65" i="2"/>
  <c r="K66" i="2"/>
  <c r="K65" i="2"/>
  <c r="L25" i="2" l="1"/>
  <c r="L14" i="2"/>
  <c r="K14" i="2"/>
  <c r="K15" i="2" s="1"/>
  <c r="L27" i="2" l="1"/>
  <c r="L15" i="2"/>
  <c r="L16" i="4"/>
  <c r="L94" i="2"/>
  <c r="L28" i="2" l="1"/>
  <c r="K25" i="2"/>
  <c r="K19" i="2"/>
  <c r="K94" i="2" s="1"/>
  <c r="K17" i="2"/>
  <c r="J31" i="2"/>
  <c r="J36" i="2" s="1"/>
  <c r="J25" i="2"/>
  <c r="J19" i="2"/>
  <c r="J17" i="2"/>
  <c r="J14" i="2"/>
  <c r="E36" i="2"/>
  <c r="F36" i="2"/>
  <c r="G36" i="2"/>
  <c r="H36" i="2"/>
  <c r="I36" i="2"/>
  <c r="I25" i="2"/>
  <c r="I19" i="2"/>
  <c r="I17" i="2"/>
  <c r="I14" i="2"/>
  <c r="H25" i="2"/>
  <c r="H19" i="2"/>
  <c r="H17" i="2"/>
  <c r="H14" i="2"/>
  <c r="G25" i="2"/>
  <c r="G19" i="2"/>
  <c r="G17" i="2"/>
  <c r="G14" i="2"/>
  <c r="F25" i="2"/>
  <c r="F19" i="2"/>
  <c r="F17" i="2"/>
  <c r="F14" i="2"/>
  <c r="E25" i="2"/>
  <c r="E14" i="2"/>
  <c r="E13" i="2"/>
  <c r="E19" i="2"/>
  <c r="K27" i="2" l="1"/>
  <c r="K28" i="2" s="1"/>
  <c r="L37" i="2"/>
  <c r="L39" i="2" s="1"/>
  <c r="F27" i="2"/>
  <c r="G27" i="2"/>
  <c r="H27" i="2"/>
  <c r="I27" i="2"/>
  <c r="J27" i="2"/>
  <c r="E17" i="2"/>
  <c r="E27" i="2" s="1"/>
  <c r="E94" i="2" s="1"/>
  <c r="K91" i="2" l="1"/>
  <c r="J15" i="2"/>
  <c r="J54" i="2"/>
  <c r="J73" i="2"/>
  <c r="J78" i="2" s="1"/>
  <c r="K73" i="2"/>
  <c r="K78" i="2" s="1"/>
  <c r="E15" i="2"/>
  <c r="E92" i="2" s="1"/>
  <c r="E60" i="2"/>
  <c r="G60" i="2"/>
  <c r="H60" i="2"/>
  <c r="N1" i="7"/>
  <c r="M1" i="7"/>
  <c r="L1" i="7"/>
  <c r="K1" i="7"/>
  <c r="J1" i="7"/>
  <c r="I1" i="7"/>
  <c r="H1" i="7"/>
  <c r="G1" i="7"/>
  <c r="F1" i="7"/>
  <c r="E1" i="7"/>
  <c r="D1" i="7"/>
  <c r="C38" i="6"/>
  <c r="C2" i="6"/>
  <c r="B38" i="5"/>
  <c r="B2" i="5"/>
  <c r="B40" i="4"/>
  <c r="B1" i="4"/>
  <c r="B39" i="3"/>
  <c r="B1" i="3"/>
  <c r="J94" i="2"/>
  <c r="I94" i="2"/>
  <c r="H94" i="2"/>
  <c r="G94" i="2"/>
  <c r="F94" i="2"/>
  <c r="J91" i="2"/>
  <c r="I91" i="2"/>
  <c r="H91" i="2"/>
  <c r="G91" i="2"/>
  <c r="F91" i="2"/>
  <c r="E91" i="2"/>
  <c r="D91" i="2"/>
  <c r="I73" i="2"/>
  <c r="I78" i="2" s="1"/>
  <c r="H73" i="2"/>
  <c r="H78" i="2" s="1"/>
  <c r="G73" i="2"/>
  <c r="G78" i="2" s="1"/>
  <c r="F73" i="2"/>
  <c r="F78" i="2" s="1"/>
  <c r="E73" i="2"/>
  <c r="E78" i="2" s="1"/>
  <c r="D73" i="2"/>
  <c r="D78" i="2" s="1"/>
  <c r="I64" i="2"/>
  <c r="H64" i="2"/>
  <c r="F64" i="2"/>
  <c r="E64" i="2"/>
  <c r="D64" i="2"/>
  <c r="J63" i="2"/>
  <c r="I63" i="2"/>
  <c r="H63" i="2"/>
  <c r="F63" i="2"/>
  <c r="E63" i="2"/>
  <c r="I61" i="2"/>
  <c r="H61" i="2"/>
  <c r="G61" i="2"/>
  <c r="F61" i="2"/>
  <c r="E61" i="2"/>
  <c r="D61" i="2"/>
  <c r="I60" i="2"/>
  <c r="I55" i="2"/>
  <c r="H55" i="2"/>
  <c r="G55" i="2"/>
  <c r="F55" i="2"/>
  <c r="E55" i="2"/>
  <c r="D55" i="2"/>
  <c r="I54" i="2"/>
  <c r="H54" i="2"/>
  <c r="G54" i="2"/>
  <c r="F54" i="2"/>
  <c r="E54" i="2"/>
  <c r="D54" i="2"/>
  <c r="D27" i="2"/>
  <c r="D94" i="2" s="1"/>
  <c r="I15" i="2"/>
  <c r="H15" i="2"/>
  <c r="G15" i="2"/>
  <c r="G92" i="2" s="1"/>
  <c r="F15" i="2"/>
  <c r="F92" i="2" s="1"/>
  <c r="D15" i="2"/>
  <c r="D92" i="2" s="1"/>
  <c r="F65" i="2" l="1"/>
  <c r="H66" i="2"/>
  <c r="F66" i="2"/>
  <c r="H65" i="2"/>
  <c r="E66" i="2"/>
  <c r="E65" i="2"/>
  <c r="I66" i="2"/>
  <c r="E28" i="2"/>
  <c r="E37" i="2" s="1"/>
  <c r="E39" i="2" s="1"/>
  <c r="D28" i="2"/>
  <c r="H28" i="2"/>
  <c r="H37" i="2" s="1"/>
  <c r="H39" i="2" s="1"/>
  <c r="I28" i="2"/>
  <c r="I37" i="2" s="1"/>
  <c r="I39" i="2" s="1"/>
  <c r="H92" i="2"/>
  <c r="J28" i="2"/>
  <c r="I92" i="2"/>
  <c r="F28" i="2"/>
  <c r="F37" i="2" s="1"/>
  <c r="F39" i="2" s="1"/>
  <c r="G28" i="2"/>
  <c r="G37" i="2" s="1"/>
  <c r="G39" i="2" s="1"/>
  <c r="I65" i="2"/>
  <c r="J66" i="2"/>
  <c r="J65" i="2"/>
  <c r="K37" i="2" l="1"/>
  <c r="K39" i="2" s="1"/>
  <c r="J37" i="2"/>
  <c r="J39" i="2" s="1"/>
  <c r="D63" i="2"/>
  <c r="D65" i="2" l="1"/>
  <c r="D6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Melanie Carrier</author>
  </authors>
  <commentList>
    <comment ref="P34" authorId="0" shapeId="0" xr:uid="{00000000-0006-0000-0100-000001000000}">
      <text>
        <r>
          <rPr>
            <b/>
            <sz val="9"/>
            <color indexed="81"/>
            <rFont val="Tahoma"/>
            <family val="2"/>
          </rPr>
          <t>Melanie Carrier:</t>
        </r>
        <r>
          <rPr>
            <sz val="9"/>
            <color indexed="81"/>
            <rFont val="Tahoma"/>
            <family val="2"/>
          </rPr>
          <t xml:space="preserve">
Transferred fiduciary responsibility to Mecosta County - Special Investigative Unit</t>
        </r>
      </text>
    </comment>
    <comment ref="L52" authorId="0" shapeId="0" xr:uid="{00000000-0006-0000-0100-000002000000}">
      <text>
        <r>
          <rPr>
            <b/>
            <sz val="9"/>
            <color indexed="81"/>
            <rFont val="Tahoma"/>
            <family val="2"/>
          </rPr>
          <t>Melanie Carrier:</t>
        </r>
        <r>
          <rPr>
            <sz val="9"/>
            <color indexed="81"/>
            <rFont val="Tahoma"/>
            <family val="2"/>
          </rPr>
          <t xml:space="preserve">
These numbers in red are from the actuarial, NOT audit! Table 6</t>
        </r>
      </text>
    </comment>
    <comment ref="I58" authorId="0" shapeId="0" xr:uid="{00000000-0006-0000-0100-000003000000}">
      <text>
        <r>
          <rPr>
            <b/>
            <sz val="9"/>
            <color indexed="81"/>
            <rFont val="Tahoma"/>
            <family val="2"/>
          </rPr>
          <t>Melanie Carrier:</t>
        </r>
        <r>
          <rPr>
            <sz val="9"/>
            <color indexed="81"/>
            <rFont val="Tahoma"/>
            <family val="2"/>
          </rPr>
          <t xml:space="preserve">
This is the amount from the last MERS quarterly report in 2010 (RHFV)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Melanie Carrier</author>
  </authors>
  <commentList>
    <comment ref="B12" authorId="0" shapeId="0" xr:uid="{00000000-0006-0000-0700-000001000000}">
      <text>
        <r>
          <rPr>
            <b/>
            <sz val="9"/>
            <color indexed="81"/>
            <rFont val="Tahoma"/>
            <family val="2"/>
          </rPr>
          <t>Melanie Carrier:</t>
        </r>
        <r>
          <rPr>
            <sz val="9"/>
            <color indexed="81"/>
            <rFont val="Tahoma"/>
            <family val="2"/>
          </rPr>
          <t xml:space="preserve">
This includes all Sheriff Dept departments:
Sheriff
Civil Processing
CMET
Marine/River
Truancy
Courthouse Security</t>
        </r>
      </text>
    </comment>
    <comment ref="B13" authorId="0" shapeId="0" xr:uid="{00000000-0006-0000-0700-000002000000}">
      <text>
        <r>
          <rPr>
            <b/>
            <sz val="9"/>
            <color indexed="81"/>
            <rFont val="Tahoma"/>
            <family val="2"/>
          </rPr>
          <t>Melanie Carrier:</t>
        </r>
        <r>
          <rPr>
            <sz val="9"/>
            <color indexed="81"/>
            <rFont val="Tahoma"/>
            <family val="2"/>
          </rPr>
          <t xml:space="preserve">
This includes all other depts:
Jail
Safety
Crisis Management
Spay &amp; Neuter 
</t>
        </r>
      </text>
    </comment>
  </commentList>
</comments>
</file>

<file path=xl/sharedStrings.xml><?xml version="1.0" encoding="utf-8"?>
<sst xmlns="http://schemas.openxmlformats.org/spreadsheetml/2006/main" count="528" uniqueCount="337">
  <si>
    <t>Parks &amp; recreation</t>
  </si>
  <si>
    <t>Local Contributions</t>
  </si>
  <si>
    <t xml:space="preserve">DPW </t>
  </si>
  <si>
    <t>Federal govt. grants - electric</t>
  </si>
  <si>
    <t>Medical examiner</t>
  </si>
  <si>
    <t>Health &amp; welfare</t>
  </si>
  <si>
    <t>Interest &amp; Rent</t>
  </si>
  <si>
    <t>The spreadsheet is organized by tabs.  The first tab to the right of the Instruction tab is titled "Data Input" and is the only tab where you should have to enter data or make modifications.  The next four tabs contain the Citizens' Guide organized as follows:</t>
  </si>
  <si>
    <t>Total Long Term Debt (excl. pension &amp; RHC)</t>
  </si>
  <si>
    <t>Total Revenue</t>
  </si>
  <si>
    <t>Unallocated fringes &amp; insurance</t>
  </si>
  <si>
    <t>Local donations - other</t>
  </si>
  <si>
    <t>Total Expenditures</t>
  </si>
  <si>
    <t>Child care</t>
  </si>
  <si>
    <t>Statutory court fees &amp; charges</t>
  </si>
  <si>
    <t>Unfunded (Overfunded)</t>
  </si>
  <si>
    <t>Designated</t>
  </si>
  <si>
    <t>Misc. other revenue</t>
  </si>
  <si>
    <t>Local donations - culture &amp; recreation</t>
  </si>
  <si>
    <t>Choose Source of Revenue</t>
  </si>
  <si>
    <t>Public transportation</t>
  </si>
  <si>
    <t>Federal govt. grants - other</t>
  </si>
  <si>
    <t>Local donations - transit</t>
  </si>
  <si>
    <t>Tax reverted property</t>
  </si>
  <si>
    <t>3. Percent Funded (Compared to Prior Year)</t>
  </si>
  <si>
    <t>Local donations - streets &amp; highways</t>
  </si>
  <si>
    <t>Interfund transfers (net)</t>
  </si>
  <si>
    <t xml:space="preserve">Local donations - Gas, water, electric </t>
  </si>
  <si>
    <t>Trailer taxes</t>
  </si>
  <si>
    <t>Graph data, pulled from above data:</t>
  </si>
  <si>
    <t>Special assessments</t>
  </si>
  <si>
    <t>State aid - housing &amp; community development</t>
  </si>
  <si>
    <t>Other</t>
  </si>
  <si>
    <t>Capital Leases</t>
  </si>
  <si>
    <t>All other gen gov.</t>
  </si>
  <si>
    <t>Community &amp; Economic Development</t>
  </si>
  <si>
    <t>Other health &amp; welfare</t>
  </si>
  <si>
    <t>Extraordinary/ Special items</t>
  </si>
  <si>
    <t>Airports</t>
  </si>
  <si>
    <t>Other public works</t>
  </si>
  <si>
    <t>Library</t>
  </si>
  <si>
    <t>Expenditures</t>
  </si>
  <si>
    <t>Property taxes</t>
  </si>
  <si>
    <t>OTHER LONG TERM OBLIGATIONS</t>
  </si>
  <si>
    <t>INSTRUCTIONS FOR THE CITIZEN'S GUIDE SPREADSHEET</t>
  </si>
  <si>
    <t>Revenue:</t>
  </si>
  <si>
    <t>- Designated</t>
  </si>
  <si>
    <t>State aid - electric</t>
  </si>
  <si>
    <t>Population information</t>
  </si>
  <si>
    <t>4. Long-Term Debt Obligations</t>
  </si>
  <si>
    <t>Non-business licenses &amp; permits</t>
  </si>
  <si>
    <t>Health dept.</t>
  </si>
  <si>
    <t>Business licenses &amp; permits</t>
  </si>
  <si>
    <t>From Federal Gov</t>
  </si>
  <si>
    <t>Register of Deeds fees</t>
  </si>
  <si>
    <t>Human services</t>
  </si>
  <si>
    <t>Fines &amp; Forfeitures</t>
  </si>
  <si>
    <t>1. Our Sources of Revenue (all governmental funds)</t>
  </si>
  <si>
    <t>Treasurer</t>
  </si>
  <si>
    <t>Finance</t>
  </si>
  <si>
    <t>Federal govt. grants - transit</t>
  </si>
  <si>
    <t>Capital outlay</t>
  </si>
  <si>
    <t>Date Input Page</t>
  </si>
  <si>
    <t>Reserved</t>
  </si>
  <si>
    <t>Commercial facilities tax</t>
  </si>
  <si>
    <t>Aggregation</t>
  </si>
  <si>
    <t>Hospital</t>
  </si>
  <si>
    <t>FUND BALANCE</t>
  </si>
  <si>
    <t>2. Retiree Health Care Funding Status</t>
  </si>
  <si>
    <t>Federal govt. grants - sanitation</t>
  </si>
  <si>
    <t>To enter information in the data input tab, you will need to have copies of your financial statements, trial balances, or F-65 forms.  To use the spreadsheet:</t>
  </si>
  <si>
    <t>State aid - general government</t>
  </si>
  <si>
    <t>Contact information:</t>
  </si>
  <si>
    <t>Industrial facilities tax</t>
  </si>
  <si>
    <t>State revenue sharing</t>
  </si>
  <si>
    <t>Federal</t>
  </si>
  <si>
    <t>Debt Service</t>
  </si>
  <si>
    <t>Ambulance services</t>
  </si>
  <si>
    <t>3. Revenue sources Per Capita (Compared to the Prior Year)</t>
  </si>
  <si>
    <t>All other statutory fees</t>
  </si>
  <si>
    <t>Capital Outlay</t>
  </si>
  <si>
    <t>Date of Actuarial Valuation:</t>
  </si>
  <si>
    <t>Recreation &amp; Culture</t>
  </si>
  <si>
    <t xml:space="preserve">         »  If you have any revenue or expenditure categories that are not being used by your local unit, please "hide" those rows on the data input sheet.  This will remove them from the graphs so that the graphical presentation will be easier for the citizen to understand.  This will be very common; for instance, row 27-extraordinary/special items, is quite uncommon to use. </t>
  </si>
  <si>
    <t>Rents &amp; royalties</t>
  </si>
  <si>
    <t>Pensions</t>
  </si>
  <si>
    <t>Debt issuance</t>
  </si>
  <si>
    <t xml:space="preserve">         »  If you have any fund balance categories that are not being used by your local unit (i.e., you have no reservations or you have no designation), please "hide" those rows on the data input sheet.  This will remove them from the graphs.</t>
  </si>
  <si>
    <t>Other cultural activities</t>
  </si>
  <si>
    <t>Judicial</t>
  </si>
  <si>
    <t>Local donations - welfare</t>
  </si>
  <si>
    <t xml:space="preserve">        »  Many local units only have every other year (or every third year) information related to the actuarial accrued liability (AAL) for retiree health care plans.  For those communities, we recommend extrapolating the information between valuations so that a fair picture can still be obtained.  For example:  if the 2007 AAL was $5 million and the 2010 AAL was $8 million, you could extrapolate to $6 million for 2008 and $7 million for 2009. </t>
  </si>
  <si>
    <t>Health &amp; Welfare</t>
  </si>
  <si>
    <t>Local donations - health and/or hospitals</t>
  </si>
  <si>
    <t>State aid - public safety</t>
  </si>
  <si>
    <t>State aid - other</t>
  </si>
  <si>
    <t>State</t>
  </si>
  <si>
    <t xml:space="preserve">4. Historical Trends of Each Source </t>
  </si>
  <si>
    <t>Uninsured Losses</t>
  </si>
  <si>
    <t>Other Public Safety</t>
  </si>
  <si>
    <t>Local donations - housing &amp; community development</t>
  </si>
  <si>
    <t>Undesignated fund balance</t>
  </si>
  <si>
    <t>State aid - streets &amp; bridges</t>
  </si>
  <si>
    <t>Combined public safety</t>
  </si>
  <si>
    <t>All Governmental Funds (col. A &amp; b)</t>
  </si>
  <si>
    <t>Sum of All Pension &amp; OPEB Plans</t>
  </si>
  <si>
    <t>Hotel/ motel tax</t>
  </si>
  <si>
    <t>Federal govt. grants - general government</t>
  </si>
  <si>
    <t>State aid - welfare</t>
  </si>
  <si>
    <t>Building regulations</t>
  </si>
  <si>
    <t>Income tax</t>
  </si>
  <si>
    <t>General government</t>
  </si>
  <si>
    <t>4. Historical Trends of Individual Departments</t>
  </si>
  <si>
    <t>Legislative</t>
  </si>
  <si>
    <t>Mental health</t>
  </si>
  <si>
    <t>Licenses &amp; fees</t>
  </si>
  <si>
    <t>State aid - health and/or hospitals</t>
  </si>
  <si>
    <t xml:space="preserve">Total </t>
  </si>
  <si>
    <t>Bonds &amp; Contracts Payable</t>
  </si>
  <si>
    <t>Clerk's office charges</t>
  </si>
  <si>
    <t>Fines, penalties &amp; forfeits</t>
  </si>
  <si>
    <t>General Government</t>
  </si>
  <si>
    <t>Choose Department</t>
  </si>
  <si>
    <t>Building &amp; grounds</t>
  </si>
  <si>
    <t>% Change</t>
  </si>
  <si>
    <t>Other Claims &amp; Contingencies</t>
  </si>
  <si>
    <t>Structured Debt</t>
  </si>
  <si>
    <t>Other charges for services</t>
  </si>
  <si>
    <t>Other  refunds &amp; rebates</t>
  </si>
  <si>
    <t>Federal govt. grants - culture &amp; recreation</t>
  </si>
  <si>
    <t>Assessing</t>
  </si>
  <si>
    <t>Total equity</t>
  </si>
  <si>
    <t>REVENUE</t>
  </si>
  <si>
    <t>Before publishing the spreadsheet to your website, we highly recommend you "hide" the Data Input Tab and the F-65 Crosswalk Tab so that this document will be more user-friendly.  To hide a tab, right click on the tab and select "Hide".</t>
  </si>
  <si>
    <t>Employee Compensated Absences</t>
  </si>
  <si>
    <t>Roads &amp; bridges</t>
  </si>
  <si>
    <t>1. Where We Spend Our Money (all governmental funds)</t>
  </si>
  <si>
    <t>Liabilities not counted on a modified-accrual basis:</t>
  </si>
  <si>
    <t>Police &amp; fire</t>
  </si>
  <si>
    <t>Jail</t>
  </si>
  <si>
    <t>Landfill Closure &amp; Postclosure Care</t>
  </si>
  <si>
    <t>Fire</t>
  </si>
  <si>
    <t>Trash disposal &amp; landfilling</t>
  </si>
  <si>
    <t>Other Revenue</t>
  </si>
  <si>
    <t>Economic development</t>
  </si>
  <si>
    <t>OPEB</t>
  </si>
  <si>
    <t>Parks and recreation fees</t>
  </si>
  <si>
    <t>Recreation &amp; culture</t>
  </si>
  <si>
    <t>Parking fees</t>
  </si>
  <si>
    <t>Interfund transfers In</t>
  </si>
  <si>
    <t>Stmt. Of Rev &amp; Exp - All governmental funds</t>
  </si>
  <si>
    <t>Unfunded</t>
  </si>
  <si>
    <t>- Reserved/ Restricted</t>
  </si>
  <si>
    <t>1. Pension Funding Status</t>
  </si>
  <si>
    <t>F-65 line</t>
  </si>
  <si>
    <t>Debt:</t>
  </si>
  <si>
    <t>Federal govt. grants - housing &amp; community development</t>
  </si>
  <si>
    <t>State aid - transit</t>
  </si>
  <si>
    <t>Elections</t>
  </si>
  <si>
    <t>Charges for Services</t>
  </si>
  <si>
    <t>Federal govt. grants - public safety</t>
  </si>
  <si>
    <t>Assets</t>
  </si>
  <si>
    <t>Interfund transfers out</t>
  </si>
  <si>
    <t>Police &amp; Fire</t>
  </si>
  <si>
    <t>Description</t>
  </si>
  <si>
    <t>State aid - sanitation</t>
  </si>
  <si>
    <t>Other public safety</t>
  </si>
  <si>
    <t>Planning &amp; zoning</t>
  </si>
  <si>
    <t>Contributions</t>
  </si>
  <si>
    <t>Police fees</t>
  </si>
  <si>
    <t>Veterans' programs</t>
  </si>
  <si>
    <t xml:space="preserve">2. Compared to the Prior Year </t>
  </si>
  <si>
    <t>Total revenue</t>
  </si>
  <si>
    <t>Local donations - sanitation</t>
  </si>
  <si>
    <t>Surplus (shortfall)</t>
  </si>
  <si>
    <t>Federal govt. grants - welfare</t>
  </si>
  <si>
    <t>Sale of fixed assets</t>
  </si>
  <si>
    <t>EXPENDITURES</t>
  </si>
  <si>
    <t>Licenses &amp; Permits</t>
  </si>
  <si>
    <t>Other Public Works</t>
  </si>
  <si>
    <t>Charges for services</t>
  </si>
  <si>
    <t>Local donations - general government</t>
  </si>
  <si>
    <t>Fringe benefits not directly allocated to departments</t>
  </si>
  <si>
    <t>Police</t>
  </si>
  <si>
    <t xml:space="preserve">        »  This information should be in the footnote disclosures of your annual financial statements; it is also available in your actuarial valuations.</t>
  </si>
  <si>
    <t>Interest &amp; dividends</t>
  </si>
  <si>
    <t>Debt service</t>
  </si>
  <si>
    <t>Interest &amp; rent</t>
  </si>
  <si>
    <t>REVENUES</t>
  </si>
  <si>
    <t>State aid - water</t>
  </si>
  <si>
    <t>Water or sewer</t>
  </si>
  <si>
    <t>All other fees</t>
  </si>
  <si>
    <t>Per Capita Information</t>
  </si>
  <si>
    <t>On the first two tabs of the Citizens' Guide (revenue and expenditures), table number 4 has been built as an interactive chart.  When this is put on your website, the user can choose any revenue (expenditure) from the drop-down list and see the historical trend for that particular revenue (expenditure).</t>
  </si>
  <si>
    <t>Court-ordered fees and charges</t>
  </si>
  <si>
    <t>Percent Funded</t>
  </si>
  <si>
    <t>Expendtiures:</t>
  </si>
  <si>
    <t>Actuarial Liability</t>
  </si>
  <si>
    <t>Other Contractual Debt</t>
  </si>
  <si>
    <t>Revenue</t>
  </si>
  <si>
    <t>From State Gov</t>
  </si>
  <si>
    <t>Community &amp; economic development</t>
  </si>
  <si>
    <t>Electricity</t>
  </si>
  <si>
    <t>Date of actuarial valuation:</t>
  </si>
  <si>
    <t>Fire run charges</t>
  </si>
  <si>
    <t>Dispatch (if separate)</t>
  </si>
  <si>
    <t xml:space="preserve">FINANCIAL POSITION </t>
  </si>
  <si>
    <t>Financial position - All governmental funds</t>
  </si>
  <si>
    <t>Federal govt. grants - streets &amp; highways</t>
  </si>
  <si>
    <t>3. Spending Per Capita (Compared to the Prior Year)</t>
  </si>
  <si>
    <t>- Undesignated/ unreserved/ unrestricted</t>
  </si>
  <si>
    <t xml:space="preserve">Roads </t>
  </si>
  <si>
    <t>State payment in lieu of taxes</t>
  </si>
  <si>
    <t>Election charges</t>
  </si>
  <si>
    <t>Taxes</t>
  </si>
  <si>
    <t>Local donations - public safety</t>
  </si>
  <si>
    <t>Chief executive</t>
  </si>
  <si>
    <t>State pass-thru of act 51(Streets)</t>
  </si>
  <si>
    <t>Alcoholism &amp; substance abuse</t>
  </si>
  <si>
    <t>State aid - culture &amp; recreation</t>
  </si>
  <si>
    <t>Federal govt. grants - water</t>
  </si>
  <si>
    <t>Public housing</t>
  </si>
  <si>
    <t>State swamp and land taxes</t>
  </si>
  <si>
    <t>Federal govt. grants - health and/or hospitals</t>
  </si>
  <si>
    <t>Clerk</t>
  </si>
  <si>
    <t>Total expenditures</t>
  </si>
  <si>
    <t>Oher community development</t>
  </si>
  <si>
    <t>Area agency on aging</t>
  </si>
  <si>
    <t>Ambulance</t>
  </si>
  <si>
    <r>
      <t xml:space="preserve">     </t>
    </r>
    <r>
      <rPr>
        <sz val="11"/>
        <color indexed="8"/>
        <rFont val="Arial"/>
        <family val="2"/>
      </rPr>
      <t>●</t>
    </r>
    <r>
      <rPr>
        <sz val="11"/>
        <color indexed="8"/>
        <rFont val="Arial"/>
        <family val="2"/>
      </rPr>
      <t xml:space="preserve">  Rows 79-83 are grayed out and should be ignored.  This section is necessary in order for the interactive revenue and expenditure charts to operate properly.</t>
    </r>
  </si>
  <si>
    <r>
      <t xml:space="preserve">    </t>
    </r>
    <r>
      <rPr>
        <sz val="11"/>
        <color indexed="8"/>
        <rFont val="Arial"/>
        <family val="2"/>
      </rPr>
      <t>●</t>
    </r>
    <r>
      <rPr>
        <sz val="11"/>
        <color indexed="8"/>
        <rFont val="Arial"/>
        <family val="2"/>
      </rPr>
      <t xml:space="preserve">  Row 69 presents population information.  This is presented so that we can compute measures on a per-capita basis, and will make it easier when you want to do comparisons with other local units in the future.  For 2010, the population count should agree with the U.S. census figures.  For all other years, estimates of population are generally available through your regional council of governments.</t>
    </r>
  </si>
  <si>
    <r>
      <t xml:space="preserve">     </t>
    </r>
    <r>
      <rPr>
        <sz val="11"/>
        <color indexed="8"/>
        <rFont val="Arial"/>
        <family val="2"/>
      </rPr>
      <t>●</t>
    </r>
    <r>
      <rPr>
        <sz val="11"/>
        <color indexed="8"/>
        <rFont val="Arial"/>
        <family val="2"/>
      </rPr>
      <t xml:space="preserve">  Rows 57 through 67 present the debt information from the "long term debt account group."  In other words, this represents all </t>
    </r>
    <r>
      <rPr>
        <u/>
        <sz val="11"/>
        <color indexed="8"/>
        <rFont val="Arial"/>
        <family val="2"/>
      </rPr>
      <t>governmental</t>
    </r>
    <r>
      <rPr>
        <sz val="11"/>
        <color indexed="8"/>
        <rFont val="Arial"/>
        <family val="2"/>
      </rPr>
      <t xml:space="preserve"> liabilities not already reported in the funds themselves.  This information generally can be found in the footnote disclosures of your financial statements.</t>
    </r>
  </si>
  <si>
    <r>
      <t xml:space="preserve">     </t>
    </r>
    <r>
      <rPr>
        <sz val="11"/>
        <color indexed="8"/>
        <rFont val="Arial"/>
        <family val="2"/>
      </rPr>
      <t>●</t>
    </r>
    <r>
      <rPr>
        <sz val="11"/>
        <color indexed="8"/>
        <rFont val="Arial"/>
        <family val="2"/>
      </rPr>
      <t xml:space="preserve">  Rows 39 through 54 presents the funded status of all "defined benefit" employee benefit plans (pension plans, retiree health care, or any other OPEB plans.)</t>
    </r>
  </si>
  <si>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</si>
  <si>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family val="2"/>
      </rPr>
      <t>●</t>
    </r>
    <r>
      <rPr>
        <sz val="11"/>
        <color indexed="8"/>
        <rFont val="Arial"/>
        <family val="2"/>
      </rPr>
      <t xml:space="preserve">  Rows 31 through 35 present the fund balance as of the balance sheet date;</t>
    </r>
  </si>
  <si>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</si>
  <si>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family val="2"/>
      </rPr>
      <t>●</t>
    </r>
    <r>
      <rPr>
        <sz val="11"/>
        <color indexed="8"/>
        <rFont val="Arial"/>
        <family val="2"/>
      </rPr>
      <t xml:space="preserve">  Rows 4 through 29 present the revenues and expenditures from </t>
    </r>
    <r>
      <rPr>
        <u/>
        <sz val="11"/>
        <color indexed="8"/>
        <rFont val="Arial"/>
        <family val="2"/>
      </rPr>
      <t>all governmental funds.</t>
    </r>
  </si>
  <si>
    <r>
      <t xml:space="preserve">     </t>
    </r>
    <r>
      <rPr>
        <sz val="11"/>
        <color indexed="8"/>
        <rFont val="Arial"/>
        <family val="2"/>
      </rPr>
      <t>●</t>
    </r>
    <r>
      <rPr>
        <sz val="11"/>
        <color indexed="8"/>
        <rFont val="Arial"/>
        <family val="2"/>
      </rPr>
      <t xml:space="preserve">  The model requires 5 years of data, but allows for 10 years (10 years being preferable.)  In order for the graphs to ignore the first five years, we have hidden those columns.  If you want to use more than five years, just "unhide" columns C-G and the input areas will be available.</t>
    </r>
  </si>
  <si>
    <r>
      <t xml:space="preserve">     </t>
    </r>
    <r>
      <rPr>
        <sz val="11"/>
        <color indexed="8"/>
        <rFont val="Arial"/>
        <family val="2"/>
      </rPr>
      <t>●</t>
    </r>
    <r>
      <rPr>
        <sz val="11"/>
        <color indexed="8"/>
        <rFont val="Arial"/>
        <family val="2"/>
      </rPr>
      <t xml:space="preserve">  Other long-term obligations</t>
    </r>
  </si>
  <si>
    <r>
      <t xml:space="preserve">     </t>
    </r>
    <r>
      <rPr>
        <sz val="11"/>
        <color indexed="8"/>
        <rFont val="Arial"/>
        <family val="2"/>
      </rPr>
      <t>●</t>
    </r>
    <r>
      <rPr>
        <sz val="11"/>
        <color indexed="8"/>
        <rFont val="Arial"/>
        <family val="2"/>
      </rPr>
      <t xml:space="preserve">  Financial Position     </t>
    </r>
  </si>
  <si>
    <r>
      <t xml:space="preserve">     </t>
    </r>
    <r>
      <rPr>
        <sz val="11"/>
        <color indexed="8"/>
        <rFont val="Arial"/>
        <family val="2"/>
      </rPr>
      <t>●</t>
    </r>
    <r>
      <rPr>
        <sz val="11"/>
        <color indexed="8"/>
        <rFont val="Arial"/>
        <family val="2"/>
      </rPr>
      <t xml:space="preserve">  Expenditures </t>
    </r>
  </si>
  <si>
    <r>
      <t xml:space="preserve">     </t>
    </r>
    <r>
      <rPr>
        <sz val="11"/>
        <color indexed="8"/>
        <rFont val="Arial"/>
        <family val="2"/>
      </rPr>
      <t>●</t>
    </r>
    <r>
      <rPr>
        <sz val="11"/>
        <color indexed="8"/>
        <rFont val="Arial"/>
        <family val="2"/>
      </rPr>
      <t xml:space="preserve">  Revenues</t>
    </r>
  </si>
  <si>
    <t>Fiscal Year</t>
  </si>
  <si>
    <t>include court ordered and statutory court fees and costs</t>
  </si>
  <si>
    <t>DO NOT include court ordered and statutory court fees and costs</t>
  </si>
  <si>
    <t>includes interest income and rents, which are listed separately in audit</t>
  </si>
  <si>
    <t>includes special assessments, contributions from private sources, reimbursements, other revenue, which are listed separately in audit</t>
  </si>
  <si>
    <t>legislative, judicial, general government expenditures</t>
  </si>
  <si>
    <t xml:space="preserve">Police </t>
  </si>
  <si>
    <t>General Fund</t>
  </si>
  <si>
    <t>other public safety</t>
  </si>
  <si>
    <t>Other Financing Sources</t>
  </si>
  <si>
    <t>Proceeds from issuance of long term debt</t>
  </si>
  <si>
    <t>Transfers In</t>
  </si>
  <si>
    <t>Transfers Out</t>
  </si>
  <si>
    <t>Revenues &amp; other sources over(under) exp</t>
  </si>
  <si>
    <t xml:space="preserve">equals audit statement of rev, exp, changes in fund balance </t>
  </si>
  <si>
    <t>other</t>
  </si>
  <si>
    <t>see breakdown of public safety tab</t>
  </si>
  <si>
    <t>principal and interest</t>
  </si>
  <si>
    <t>Public Works</t>
  </si>
  <si>
    <t>Total fund balance</t>
  </si>
  <si>
    <t>2005 fund balance was restated in 2006 audit to take out drain and special assessment funds</t>
  </si>
  <si>
    <t>proceeds from sale of capital assets</t>
  </si>
  <si>
    <t>1. Historical Trends of Revenues and Expenditures</t>
  </si>
  <si>
    <t>4. Historical Trends of Total Fund Balance</t>
  </si>
  <si>
    <t>Revenues &amp; other sources over(under) expenditures</t>
  </si>
  <si>
    <t>2073(CMET)</t>
  </si>
  <si>
    <t>police</t>
  </si>
  <si>
    <t>213 (Jail)</t>
  </si>
  <si>
    <t>Nonmajor Governmental funds</t>
  </si>
  <si>
    <t>Total Public Safety</t>
  </si>
  <si>
    <t>Police portion of 101</t>
  </si>
  <si>
    <t>General Fund total</t>
  </si>
  <si>
    <t>Jail Construction</t>
  </si>
  <si>
    <t>Special Revenue Funds</t>
  </si>
  <si>
    <t>205 (Mounted Division)</t>
  </si>
  <si>
    <t>2053 (Emergency Services)</t>
  </si>
  <si>
    <t>2055 (Crime Victims)</t>
  </si>
  <si>
    <t>207 (Road Patrol)</t>
  </si>
  <si>
    <t>2072 (Law Enforcement)</t>
  </si>
  <si>
    <t>2131 (Trustee Management)</t>
  </si>
  <si>
    <t>2132 (Transport)</t>
  </si>
  <si>
    <t>249 (Building Department)</t>
  </si>
  <si>
    <t>2567 (Tech Fund)</t>
  </si>
  <si>
    <t>265 (Drug Law - CMET)</t>
  </si>
  <si>
    <t>nonmajor governmental funds total</t>
  </si>
  <si>
    <t>police total</t>
  </si>
  <si>
    <t>other public safety total</t>
  </si>
  <si>
    <t>Get all of this information from the Statement of Revenue, Expenditure and Changes in Fund Balance</t>
  </si>
  <si>
    <t>Budget (Non-GAAP Budgetary Basis) and Actual - General Fund</t>
  </si>
  <si>
    <t>Statement of Revenues, Expenditures and Changes in Fund Balances - Governemental Funds</t>
  </si>
  <si>
    <t>General - Public Safety</t>
  </si>
  <si>
    <t>Special Investigative Unit - Public Safety</t>
  </si>
  <si>
    <t>County Jail - Public Safety</t>
  </si>
  <si>
    <t>Nonmajor Governmental Funds - Public Safety</t>
  </si>
  <si>
    <t>Should match audit</t>
  </si>
  <si>
    <t>Combining Schedule of Revenues, Expenditures and Changes in Fund Balances - By Activity - General Fund</t>
  </si>
  <si>
    <t>General Fund - Public Safety</t>
  </si>
  <si>
    <t>Animal Control - Public Safety</t>
  </si>
  <si>
    <t>Combining Statement of Revenues, Expenditures and Changes in Fund Balance - Nonmajor Governmental Funds</t>
  </si>
  <si>
    <t>Expenditures - Debt Service</t>
  </si>
  <si>
    <t>This is the total of all special revenue funds</t>
  </si>
  <si>
    <t>Mounted Division - Public Safety</t>
  </si>
  <si>
    <t>Emergency Services - Public Safety</t>
  </si>
  <si>
    <t>Crime Victim Rights - Public Safety</t>
  </si>
  <si>
    <t>Sheriff Road Patrol - Public Safety</t>
  </si>
  <si>
    <t>Law Enforcement - Public Safety</t>
  </si>
  <si>
    <t>County Jail Trustees Management - Public Safety</t>
  </si>
  <si>
    <t>Transport Fund - Public Safety</t>
  </si>
  <si>
    <t>Building Safety and Permits - Public Safety</t>
  </si>
  <si>
    <t>Law Enforcement echnical Fund - Public Safety</t>
  </si>
  <si>
    <t>Drug Law Enforcement - Public Safety</t>
  </si>
  <si>
    <t>Should match audit under Public Safety Totals on Statement of Revenues, Expenditures and Changes in Fund Balances</t>
  </si>
  <si>
    <t>Governmental Funds</t>
  </si>
  <si>
    <t>Total of all police funds</t>
  </si>
  <si>
    <t>Total of all other public safety funds</t>
  </si>
  <si>
    <t>prior year fund balance</t>
  </si>
  <si>
    <t>Nonspendable</t>
  </si>
  <si>
    <t>Restricted</t>
  </si>
  <si>
    <t>Committed</t>
  </si>
  <si>
    <t>Assigned</t>
  </si>
  <si>
    <t>Unassigned</t>
  </si>
  <si>
    <t>Revenues</t>
  </si>
  <si>
    <t xml:space="preserve">CITIZENS' GUIDE TO LOCAL UNIT FINANCES - Newaygo County </t>
  </si>
  <si>
    <t>Payments to refunded bond escrow agent</t>
  </si>
  <si>
    <t>Make sure this balances to audit</t>
  </si>
  <si>
    <t>US Census Bureau estimate</t>
  </si>
  <si>
    <t>These two are added together to equal the total general fund portion (run NW report)</t>
  </si>
  <si>
    <t>3. Fund Balance per capita (Compared to the Prior Year)</t>
  </si>
  <si>
    <t>2073 (CMET)</t>
  </si>
  <si>
    <t>Special items</t>
  </si>
  <si>
    <t>5. Debt &amp; Other Long-Term Obligations Per Capita (Compared to Prior Year)</t>
  </si>
  <si>
    <t>2074 (Temporary Sheriff)</t>
  </si>
  <si>
    <t>Jail - Additional Per Diem - Public Safety</t>
  </si>
  <si>
    <t xml:space="preserve">For more information on our unit's finances, contact Melanie Doughty at (231) 689-7223. </t>
  </si>
  <si>
    <t>includes transfer out to 911 fund if there is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</si>
</sst>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00_);_(* \(#,##0.00\);_(* &quot;-&quot;_);_(@_)"/>
    <numFmt numFmtId="167" formatCode="_(* #,##0.0000_);_(* \(#,##0.0000\);_(* &quot;-&quot;_);_(@_)"/>
    <numFmt numFmtId="168" formatCode="_(* #,##0.000_);_(* \(#,##0.000\);_(* &quot;-&quot;_);_(@_)"/>
  </numFmts>
  <fonts count="5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u/>
      <sz val="11"/>
      <color indexed="8"/>
      <name val="Arial"/>
      <family val="2"/>
    </font>
    <font>
      <b/>
      <sz val="14"/>
      <color indexed="8"/>
      <name val="Arial"/>
      <family val="2"/>
    </font>
    <font>
      <b/>
      <sz val="11"/>
      <color indexed="8"/>
      <name val="Calibri"/>
      <family val="2"/>
    </font>
    <font>
      <u val="singleAccounting"/>
      <sz val="11"/>
      <color indexed="8"/>
      <name val="Calibri"/>
      <family val="2"/>
    </font>
    <font>
      <b/>
      <sz val="11"/>
      <color indexed="12"/>
      <name val="Calibri"/>
      <family val="2"/>
    </font>
    <font>
      <b/>
      <u/>
      <sz val="11"/>
      <color indexed="8"/>
      <name val="Calibri"/>
      <family val="2"/>
    </font>
    <font>
      <b/>
      <u val="singleAccounting"/>
      <sz val="11"/>
      <color indexed="8"/>
      <name val="Calibri"/>
      <family val="2"/>
    </font>
    <font>
      <b/>
      <sz val="11"/>
      <color indexed="30"/>
      <name val="Calibri"/>
      <family val="2"/>
    </font>
    <font>
      <sz val="11"/>
      <color indexed="55"/>
      <name val="Calibri"/>
      <family val="2"/>
    </font>
    <font>
      <sz val="11"/>
      <name val="Calibri"/>
      <family val="2"/>
    </font>
    <font>
      <i/>
      <sz val="11"/>
      <color indexed="8"/>
      <name val="Calibri"/>
      <family val="2"/>
    </font>
    <font>
      <sz val="8"/>
      <name val="Calibri"/>
      <family val="2"/>
    </font>
    <font>
      <sz val="11"/>
      <color rgb="FF000000"/>
      <name val="Calibri"/>
      <family val="2"/>
    </font>
    <font>
      <b/>
      <sz val="11"/>
      <color rgb="FF000000"/>
      <name val="Calibri"/>
      <family val="2"/>
    </font>
    <font>
      <sz val="10"/>
      <name val="Arial"/>
      <family val="2"/>
    </font>
    <font>
      <b/>
      <sz val="11"/>
      <color theme="1"/>
      <name val="Calibri"/>
      <family val="2"/>
      <scheme val="minor"/>
    </font>
    <font>
      <sz val="11"/>
      <color theme="9" tint="-0.249977111117893"/>
      <name val="Calibri"/>
      <family val="2"/>
    </font>
    <font>
      <sz val="11"/>
      <color rgb="FFFF0000"/>
      <name val="Calibri"/>
      <family val="2"/>
      <scheme val="minor"/>
    </font>
    <font>
      <sz val="11"/>
      <color indexed="8"/>
      <name val="Calibri"/>
      <family val="2"/>
    </font>
    <font>
      <i/>
      <sz val="11"/>
      <color theme="1"/>
      <name val="Calibri"/>
      <family val="2"/>
      <scheme val="minor"/>
    </font>
    <font>
      <i/>
      <u/>
      <sz val="11"/>
      <color theme="1"/>
      <name val="Calibri"/>
      <family val="2"/>
      <scheme val="minor"/>
    </font>
    <font>
      <b/>
      <sz val="11"/>
      <name val="Calibri"/>
      <family val="2"/>
    </font>
    <font>
      <sz val="11"/>
      <name val="Calibri"/>
      <family val="2"/>
      <scheme val="minor"/>
    </font>
    <font>
      <u val="singleAccounting"/>
      <sz val="11"/>
      <name val="Calibri"/>
      <family val="2"/>
    </font>
    <font>
      <b/>
      <sz val="11"/>
      <color rgb="FFFF0000"/>
      <name val="Calibri"/>
      <family val="2"/>
    </font>
    <font>
      <sz val="9"/>
      <color indexed="81"/>
      <name val="Tahoma"/>
      <family val="2"/>
    </font>
    <font>
      <b/>
      <sz val="9"/>
      <color indexed="81"/>
      <name val="Tahoma"/>
      <family val="2"/>
    </font>
    <font>
      <sz val="11"/>
      <color rgb="FFFF0000"/>
      <name val="Calibri"/>
      <family val="2"/>
    </font>
    <font>
      <u val="singleAccounting"/>
      <sz val="11"/>
      <color rgb="FFFF0000"/>
      <name val="Calibri"/>
      <family val="2"/>
    </font>
    <font>
      <i/>
      <sz val="11"/>
      <name val="Calibri"/>
      <family val="2"/>
      <scheme val="minor"/>
    </font>
    <font>
      <b/>
      <sz val="11"/>
      <name val="Calibri"/>
      <family val="2"/>
      <scheme val="minor"/>
    </font>
    <font>
      <sz val="12"/>
      <name val="Calibri"/>
      <family val="2"/>
    </font>
    <font>
      <b/>
      <u/>
      <sz val="12"/>
      <name val="Calibri"/>
      <family val="2"/>
    </font>
    <font>
      <b/>
      <sz val="12"/>
      <name val="Calibri"/>
      <family val="2"/>
    </font>
    <font>
      <b/>
      <u/>
      <sz val="11"/>
      <name val="Calibri"/>
      <family val="2"/>
    </font>
    <font>
      <b/>
      <sz val="11.5"/>
      <name val="Calibri"/>
      <family val="2"/>
    </font>
    <font>
      <sz val="10"/>
      <name val="Calibri"/>
      <family val="2"/>
    </font>
    <font>
      <b/>
      <u val="singleAccounting"/>
      <sz val="12"/>
      <name val="Calibri"/>
      <family val="2"/>
    </font>
    <font>
      <b/>
      <u val="singleAccounting"/>
      <sz val="11"/>
      <name val="Calibri"/>
      <family val="2"/>
    </font>
  </fonts>
  <fills count="14">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5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56"/>
      </left>
      <right/>
      <top style="thin">
        <color indexed="56"/>
      </top>
      <bottom/>
      <diagonal/>
    </border>
    <border>
      <left/>
      <right/>
      <top style="thin">
        <color indexed="56"/>
      </top>
      <bottom/>
      <diagonal/>
    </border>
    <border>
      <left style="thin">
        <color indexed="56"/>
      </left>
      <right/>
      <top/>
      <bottom/>
      <diagonal/>
    </border>
    <border>
      <left/>
      <right style="thin">
        <color indexed="56"/>
      </right>
      <top/>
      <bottom/>
      <diagonal/>
    </border>
    <border>
      <left style="thin">
        <color indexed="56"/>
      </left>
      <right/>
      <top/>
      <bottom style="thin">
        <color indexed="56"/>
      </bottom>
      <diagonal/>
    </border>
    <border>
      <left/>
      <right/>
      <top/>
      <bottom style="thin">
        <color indexed="56"/>
      </bottom>
      <diagonal/>
    </border>
    <border>
      <left/>
      <right style="thin">
        <color indexed="56"/>
      </right>
      <top/>
      <bottom style="thin">
        <color indexed="56"/>
      </bottom>
      <diagonal/>
    </border>
    <border>
      <left/>
      <right style="thin">
        <color indexed="56"/>
      </right>
      <top style="thin">
        <color indexed="56"/>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double">
        <color indexed="64"/>
      </bottom>
      <diagonal/>
    </border>
    <border>
      <left style="thin">
        <color indexed="56"/>
      </left>
      <right/>
      <top/>
      <bottom style="thin">
        <color indexed="56"/>
      </bottom>
      <diagonal/>
    </border>
    <border>
      <left/>
      <right/>
      <top/>
      <bottom style="thin">
        <color indexed="64"/>
      </bottom>
      <diagonal/>
    </border>
    <border>
      <left style="thin">
        <color theme="3"/>
      </left>
      <right/>
      <top/>
      <bottom/>
      <diagonal/>
    </border>
    <border>
      <left/>
      <right style="thin">
        <color theme="3"/>
      </right>
      <top style="thin">
        <color auto="1"/>
      </top>
      <bottom/>
      <diagonal/>
    </border>
    <border>
      <left/>
      <right style="thin">
        <color theme="3"/>
      </right>
      <top/>
      <bottom/>
      <diagonal/>
    </border>
    <border>
      <left style="thin">
        <color theme="3"/>
      </left>
      <right/>
      <top/>
      <bottom style="double">
        <color indexed="64"/>
      </bottom>
      <diagonal/>
    </border>
    <border>
      <left/>
      <right style="thin">
        <color theme="3"/>
      </right>
      <top/>
      <bottom style="double">
        <color indexed="6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bottom style="thin">
        <color indexed="64"/>
      </bottom>
      <diagonal/>
    </border>
    <border>
      <left style="thin">
        <color theme="3"/>
      </left>
      <right/>
      <top style="thin">
        <color indexed="56"/>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indexed="56"/>
      </left>
      <right/>
      <top style="thin">
        <color indexed="56"/>
      </top>
      <bottom/>
      <diagonal/>
    </border>
    <border>
      <left/>
      <right/>
      <top/>
      <bottom style="thin">
        <color indexed="56"/>
      </bottom>
      <diagonal/>
    </border>
    <border>
      <left/>
      <right style="thin">
        <color indexed="56"/>
      </right>
      <top/>
      <bottom style="thin">
        <color indexed="56"/>
      </bottom>
      <diagonal/>
    </border>
    <border>
      <left style="thin">
        <color indexed="56"/>
      </left>
      <right/>
      <top/>
      <bottom style="thin">
        <color indexed="56"/>
      </bottom>
      <diagonal/>
    </border>
    <border>
      <left style="thin">
        <color theme="3"/>
      </left>
      <right/>
      <top/>
      <bottom style="thin">
        <color indexed="64"/>
      </bottom>
      <diagonal/>
    </border>
    <border>
      <left/>
      <right/>
      <top style="thin">
        <color indexed="64"/>
      </top>
      <bottom/>
      <diagonal/>
    </border>
    <border>
      <left/>
      <right style="thin">
        <color theme="3"/>
      </right>
      <top/>
      <bottom style="thin">
        <color indexed="64"/>
      </bottom>
      <diagonal/>
    </border>
    <border>
      <left style="thin">
        <color theme="3"/>
      </left>
      <right/>
      <top style="thin">
        <color indexed="64"/>
      </top>
      <bottom/>
      <diagonal/>
    </border>
    <border>
      <left style="thin">
        <color theme="3"/>
      </left>
      <right style="thin">
        <color indexed="64"/>
      </right>
      <top style="thin">
        <color theme="3"/>
      </top>
      <bottom/>
      <diagonal/>
    </border>
    <border>
      <left style="thin">
        <color indexed="64"/>
      </left>
      <right style="thin">
        <color indexed="64"/>
      </right>
      <top style="thin">
        <color theme="3"/>
      </top>
      <bottom/>
      <diagonal/>
    </border>
    <border>
      <left style="thin">
        <color indexed="64"/>
      </left>
      <right/>
      <top style="thin">
        <color theme="3"/>
      </top>
      <bottom/>
      <diagonal/>
    </border>
    <border>
      <left style="thin">
        <color indexed="64"/>
      </left>
      <right/>
      <top/>
      <bottom style="thin">
        <color theme="3"/>
      </bottom>
      <diagonal/>
    </border>
    <border>
      <left/>
      <right style="thin">
        <color indexed="64"/>
      </right>
      <top/>
      <bottom style="thin">
        <color theme="3"/>
      </bottom>
      <diagonal/>
    </border>
  </borders>
  <cellStyleXfs count="11">
    <xf numFmtId="41" fontId="0" fillId="0" borderId="0">
      <alignment vertical="center"/>
    </xf>
    <xf numFmtId="9" fontId="24" fillId="0" borderId="0">
      <alignment vertical="center"/>
    </xf>
    <xf numFmtId="0" fontId="9" fillId="0" borderId="0"/>
    <xf numFmtId="43" fontId="26" fillId="0" borderId="0" applyFont="0" applyFill="0" applyBorder="0" applyAlignment="0" applyProtection="0"/>
    <xf numFmtId="0" fontId="26" fillId="0" borderId="0"/>
    <xf numFmtId="44" fontId="26" fillId="0" borderId="0" applyFont="0" applyFill="0" applyBorder="0" applyAlignment="0" applyProtection="0"/>
    <xf numFmtId="9" fontId="26" fillId="0" borderId="0" applyFont="0" applyFill="0" applyBorder="0" applyAlignment="0" applyProtection="0"/>
    <xf numFmtId="0" fontId="8" fillId="0" borderId="0"/>
    <xf numFmtId="43" fontId="24" fillId="0" borderId="0" applyFont="0" applyFill="0" applyBorder="0" applyAlignment="0" applyProtection="0"/>
    <xf numFmtId="0" fontId="6" fillId="0" borderId="0"/>
    <xf numFmtId="0" fontId="6" fillId="0" borderId="0"/>
  </cellStyleXfs>
  <cellXfs count="295">
    <xf numFmtId="41" fontId="0" fillId="0" borderId="0" xfId="0" applyNumberFormat="1" applyFont="1" applyBorder="1" applyAlignment="1">
      <alignment vertical="center"/>
    </xf>
    <xf numFmtId="0" fontId="15" fillId="0" borderId="0" xfId="0" applyNumberFormat="1" applyFont="1" applyBorder="1" applyAlignment="1">
      <alignment horizontal="center" vertical="center" wrapText="1"/>
    </xf>
    <xf numFmtId="41" fontId="0" fillId="0" borderId="0" xfId="0" applyNumberFormat="1" applyFont="1" applyBorder="1" applyAlignment="1">
      <alignment horizontal="left" vertical="center" indent="1"/>
    </xf>
    <xf numFmtId="41" fontId="0" fillId="0" borderId="0" xfId="0" applyNumberFormat="1" applyFont="1" applyBorder="1" applyAlignment="1">
      <alignment horizontal="left" vertical="center" indent="2"/>
    </xf>
    <xf numFmtId="41" fontId="0" fillId="0" borderId="1" xfId="0" applyNumberFormat="1" applyFont="1" applyBorder="1" applyAlignment="1">
      <alignment vertical="center"/>
    </xf>
    <xf numFmtId="41" fontId="0" fillId="0" borderId="2" xfId="0" applyNumberFormat="1" applyFont="1" applyBorder="1" applyAlignment="1">
      <alignment vertical="center"/>
    </xf>
    <xf numFmtId="41" fontId="16" fillId="0" borderId="0" xfId="0" applyNumberFormat="1" applyFont="1" applyBorder="1" applyAlignment="1">
      <alignment vertical="center"/>
    </xf>
    <xf numFmtId="0" fontId="15" fillId="0" borderId="0" xfId="0" applyNumberFormat="1" applyFont="1" applyBorder="1" applyAlignment="1">
      <alignment horizontal="center" vertical="center"/>
    </xf>
    <xf numFmtId="9" fontId="0" fillId="0" borderId="0" xfId="1" applyNumberFormat="1" applyFont="1" applyBorder="1" applyAlignment="1">
      <alignment vertical="center"/>
    </xf>
    <xf numFmtId="41" fontId="0" fillId="0" borderId="0" xfId="0" applyNumberFormat="1" applyFont="1" applyBorder="1" applyAlignment="1">
      <alignment horizontal="left" vertical="center"/>
    </xf>
    <xf numFmtId="41" fontId="15" fillId="0" borderId="0" xfId="0" applyNumberFormat="1" applyFont="1" applyBorder="1" applyAlignment="1">
      <alignment horizontal="centerContinuous" vertical="center"/>
    </xf>
    <xf numFmtId="41" fontId="14" fillId="0" borderId="0" xfId="0" applyNumberFormat="1" applyFont="1" applyBorder="1" applyAlignment="1">
      <alignment vertical="center"/>
    </xf>
    <xf numFmtId="41" fontId="17" fillId="0" borderId="0" xfId="0" applyNumberFormat="1" applyFont="1" applyBorder="1" applyAlignment="1">
      <alignment vertical="center"/>
    </xf>
    <xf numFmtId="41" fontId="0" fillId="2" borderId="0" xfId="0" applyNumberFormat="1" applyFont="1" applyFill="1" applyBorder="1" applyAlignment="1">
      <alignment vertical="center"/>
    </xf>
    <xf numFmtId="0" fontId="15" fillId="2" borderId="0" xfId="0" applyNumberFormat="1" applyFont="1" applyFill="1" applyBorder="1" applyAlignment="1">
      <alignment horizontal="center" vertical="center" wrapText="1"/>
    </xf>
    <xf numFmtId="41" fontId="0" fillId="0" borderId="0" xfId="0" applyNumberFormat="1" applyFont="1" applyBorder="1" applyAlignment="1" applyProtection="1">
      <alignment vertical="center"/>
      <protection locked="0"/>
    </xf>
    <xf numFmtId="41" fontId="0" fillId="0" borderId="0" xfId="0" applyNumberFormat="1" applyFont="1" applyBorder="1" applyAlignment="1" applyProtection="1">
      <alignment horizontal="left" vertical="center" indent="2"/>
      <protection locked="0"/>
    </xf>
    <xf numFmtId="41" fontId="0" fillId="0" borderId="0" xfId="0" applyNumberFormat="1" applyFont="1" applyBorder="1" applyAlignment="1" applyProtection="1">
      <alignment horizontal="left" vertical="center"/>
      <protection locked="0"/>
    </xf>
    <xf numFmtId="41" fontId="0" fillId="0" borderId="0" xfId="0" applyNumberFormat="1" applyFont="1" applyBorder="1" applyAlignment="1" applyProtection="1">
      <alignment horizontal="left" vertical="center" indent="3"/>
      <protection locked="0"/>
    </xf>
    <xf numFmtId="41" fontId="17" fillId="0" borderId="0" xfId="0" applyNumberFormat="1" applyFont="1" applyBorder="1" applyAlignment="1" applyProtection="1">
      <alignment vertical="center"/>
      <protection locked="0"/>
    </xf>
    <xf numFmtId="0" fontId="15" fillId="0" borderId="0" xfId="0" applyNumberFormat="1" applyFont="1" applyBorder="1" applyAlignment="1" applyProtection="1">
      <alignment horizontal="center" vertical="center" wrapText="1"/>
      <protection locked="0"/>
    </xf>
    <xf numFmtId="41" fontId="0" fillId="3" borderId="0" xfId="0" applyNumberFormat="1" applyFont="1" applyFill="1" applyBorder="1" applyAlignment="1" applyProtection="1">
      <alignment vertical="center"/>
      <protection locked="0"/>
    </xf>
    <xf numFmtId="41" fontId="0" fillId="0" borderId="0" xfId="0" applyNumberFormat="1" applyFont="1" applyBorder="1" applyAlignment="1" applyProtection="1">
      <alignment horizontal="left" vertical="center" indent="1"/>
      <protection locked="0"/>
    </xf>
    <xf numFmtId="41" fontId="0" fillId="2" borderId="0" xfId="0" applyNumberFormat="1" applyFont="1" applyFill="1" applyBorder="1" applyAlignment="1" applyProtection="1">
      <alignment vertical="center"/>
      <protection locked="0"/>
    </xf>
    <xf numFmtId="0" fontId="15" fillId="3" borderId="0" xfId="0" applyNumberFormat="1" applyFont="1" applyFill="1" applyBorder="1" applyAlignment="1" applyProtection="1">
      <alignment horizontal="center" vertical="center" wrapText="1"/>
      <protection locked="0"/>
    </xf>
    <xf numFmtId="41" fontId="17" fillId="0" borderId="0" xfId="0" applyNumberFormat="1" applyFont="1" applyBorder="1" applyAlignment="1" applyProtection="1">
      <alignment horizontal="left" vertical="center"/>
      <protection locked="0"/>
    </xf>
    <xf numFmtId="41" fontId="19" fillId="0" borderId="0" xfId="0" applyNumberFormat="1" applyFont="1" applyBorder="1" applyAlignment="1" applyProtection="1">
      <alignment vertical="center"/>
      <protection locked="0"/>
    </xf>
    <xf numFmtId="5" fontId="20" fillId="0" borderId="0" xfId="0" applyNumberFormat="1" applyFont="1" applyBorder="1" applyAlignment="1">
      <alignment horizontal="center" vertical="center"/>
    </xf>
    <xf numFmtId="5" fontId="21" fillId="0" borderId="0" xfId="0" applyNumberFormat="1" applyFont="1" applyBorder="1" applyAlignment="1">
      <alignment horizontal="center" vertical="center"/>
    </xf>
    <xf numFmtId="41" fontId="22" fillId="0" borderId="0" xfId="0" applyNumberFormat="1" applyFont="1" applyBorder="1" applyAlignment="1">
      <alignment horizontal="right" vertical="center"/>
    </xf>
    <xf numFmtId="0" fontId="18" fillId="0" borderId="0" xfId="0" applyNumberFormat="1" applyFont="1" applyBorder="1" applyAlignment="1">
      <alignment horizontal="center" vertical="center" wrapText="1"/>
    </xf>
    <xf numFmtId="14" fontId="15" fillId="0" borderId="0" xfId="0" applyNumberFormat="1" applyFont="1" applyBorder="1" applyAlignment="1">
      <alignment horizontal="center" vertical="center" wrapText="1"/>
    </xf>
    <xf numFmtId="14" fontId="15" fillId="3" borderId="0" xfId="0" applyNumberFormat="1" applyFont="1" applyFill="1" applyBorder="1" applyAlignment="1" applyProtection="1">
      <alignment horizontal="center" vertical="center" wrapText="1"/>
      <protection locked="0"/>
    </xf>
    <xf numFmtId="0" fontId="11" fillId="0" borderId="0" xfId="0" applyNumberFormat="1" applyFont="1" applyBorder="1" applyAlignment="1">
      <alignment horizontal="justify" vertical="justify" wrapText="1"/>
    </xf>
    <xf numFmtId="0" fontId="11" fillId="0" borderId="0" xfId="0" applyNumberFormat="1" applyFont="1" applyBorder="1" applyAlignment="1">
      <alignment vertical="justify" wrapText="1"/>
    </xf>
    <xf numFmtId="0" fontId="11" fillId="0" borderId="0" xfId="0" applyNumberFormat="1" applyFont="1" applyBorder="1" applyAlignment="1">
      <alignment vertical="top" wrapText="1"/>
    </xf>
    <xf numFmtId="0" fontId="11" fillId="0" borderId="0" xfId="0" applyNumberFormat="1" applyFont="1" applyBorder="1" applyAlignment="1">
      <alignment horizontal="justify" vertical="distributed" wrapText="1"/>
    </xf>
    <xf numFmtId="41" fontId="11" fillId="0" borderId="0" xfId="0" applyNumberFormat="1" applyFont="1" applyBorder="1" applyAlignment="1">
      <alignment vertical="center"/>
    </xf>
    <xf numFmtId="41" fontId="13" fillId="0" borderId="0" xfId="0" applyNumberFormat="1" applyFont="1" applyBorder="1" applyAlignment="1">
      <alignment horizontal="center" vertical="center"/>
    </xf>
    <xf numFmtId="41" fontId="0" fillId="0" borderId="0" xfId="0" applyNumberFormat="1" applyFont="1" applyBorder="1" applyAlignment="1">
      <alignment horizontal="right" vertical="center"/>
    </xf>
    <xf numFmtId="41" fontId="0" fillId="0" borderId="0" xfId="0" applyNumberFormat="1" applyBorder="1" applyAlignment="1">
      <alignment vertical="center"/>
    </xf>
    <xf numFmtId="0" fontId="15" fillId="3" borderId="0" xfId="0" applyNumberFormat="1" applyFont="1" applyFill="1" applyBorder="1" applyAlignment="1">
      <alignment horizontal="center" vertical="center" wrapText="1"/>
    </xf>
    <xf numFmtId="41" fontId="0" fillId="4" borderId="0" xfId="0" applyNumberFormat="1" applyFont="1" applyFill="1" applyBorder="1" applyAlignment="1" applyProtection="1">
      <alignment vertical="center"/>
      <protection locked="0"/>
    </xf>
    <xf numFmtId="9" fontId="0" fillId="4" borderId="0" xfId="1" applyNumberFormat="1" applyFont="1" applyFill="1" applyBorder="1" applyAlignment="1">
      <alignment vertical="center"/>
    </xf>
    <xf numFmtId="41" fontId="17"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pplyProtection="1">
      <alignment vertical="center"/>
      <protection locked="0"/>
    </xf>
    <xf numFmtId="41" fontId="0" fillId="0" borderId="1" xfId="0" applyNumberFormat="1" applyFont="1" applyFill="1" applyBorder="1" applyAlignment="1">
      <alignment vertical="center"/>
    </xf>
    <xf numFmtId="41" fontId="25" fillId="0" borderId="0" xfId="0" applyNumberFormat="1" applyFont="1" applyBorder="1" applyAlignment="1">
      <alignment vertical="center"/>
    </xf>
    <xf numFmtId="41" fontId="0" fillId="0" borderId="12" xfId="0" applyNumberFormat="1" applyFont="1" applyBorder="1" applyAlignment="1">
      <alignment vertical="center"/>
    </xf>
    <xf numFmtId="41" fontId="0" fillId="5" borderId="0" xfId="0" applyNumberFormat="1" applyFont="1" applyFill="1" applyBorder="1" applyAlignment="1">
      <alignment vertical="center"/>
    </xf>
    <xf numFmtId="0" fontId="0" fillId="0" borderId="0" xfId="0" applyNumberFormat="1" applyFont="1" applyBorder="1" applyAlignment="1">
      <alignment vertical="center"/>
    </xf>
    <xf numFmtId="41" fontId="21" fillId="0" borderId="0" xfId="0" applyNumberFormat="1" applyFont="1" applyBorder="1" applyAlignment="1">
      <alignment vertical="center"/>
    </xf>
    <xf numFmtId="0" fontId="8" fillId="0" borderId="0" xfId="7"/>
    <xf numFmtId="164" fontId="8" fillId="0" borderId="0" xfId="7" applyNumberFormat="1"/>
    <xf numFmtId="0" fontId="8" fillId="6" borderId="0" xfId="7" applyFill="1"/>
    <xf numFmtId="0" fontId="8" fillId="7" borderId="0" xfId="7" applyFill="1"/>
    <xf numFmtId="0" fontId="8" fillId="0" borderId="0" xfId="7" applyAlignment="1">
      <alignment horizontal="left" indent="2"/>
    </xf>
    <xf numFmtId="0" fontId="8" fillId="0" borderId="0" xfId="7" applyAlignment="1">
      <alignment horizontal="left" indent="1"/>
    </xf>
    <xf numFmtId="0" fontId="8" fillId="6" borderId="15" xfId="7" applyFill="1" applyBorder="1"/>
    <xf numFmtId="0" fontId="27" fillId="0" borderId="0" xfId="7" applyFont="1"/>
    <xf numFmtId="41" fontId="0" fillId="8" borderId="0" xfId="0" applyNumberFormat="1" applyFont="1" applyFill="1" applyBorder="1" applyAlignment="1">
      <alignment vertical="center"/>
    </xf>
    <xf numFmtId="41" fontId="0" fillId="8" borderId="0" xfId="0" applyNumberFormat="1" applyFont="1" applyFill="1" applyBorder="1" applyAlignment="1" applyProtection="1">
      <alignment vertical="center"/>
      <protection locked="0"/>
    </xf>
    <xf numFmtId="41" fontId="28" fillId="0" borderId="0" xfId="0" applyNumberFormat="1" applyFont="1" applyBorder="1" applyAlignment="1">
      <alignment vertical="center"/>
    </xf>
    <xf numFmtId="41" fontId="0" fillId="9" borderId="2" xfId="0" applyNumberFormat="1" applyFont="1" applyFill="1" applyBorder="1" applyAlignment="1">
      <alignment vertical="center"/>
    </xf>
    <xf numFmtId="41" fontId="0" fillId="9" borderId="1" xfId="0" applyNumberFormat="1" applyFont="1" applyFill="1" applyBorder="1" applyAlignment="1">
      <alignment vertical="center"/>
    </xf>
    <xf numFmtId="41" fontId="0" fillId="9" borderId="0" xfId="0" applyNumberFormat="1" applyFont="1" applyFill="1" applyBorder="1" applyAlignment="1">
      <alignment vertical="center"/>
    </xf>
    <xf numFmtId="9" fontId="0" fillId="9" borderId="0" xfId="1" applyNumberFormat="1" applyFont="1" applyFill="1" applyBorder="1" applyAlignment="1">
      <alignment vertical="center"/>
    </xf>
    <xf numFmtId="41" fontId="0" fillId="9" borderId="0" xfId="0" applyNumberFormat="1" applyFont="1" applyFill="1" applyBorder="1" applyAlignment="1" applyProtection="1">
      <alignment vertical="center"/>
      <protection locked="0"/>
    </xf>
    <xf numFmtId="41" fontId="0" fillId="9" borderId="3" xfId="0" applyNumberFormat="1" applyFont="1" applyFill="1" applyBorder="1" applyAlignment="1">
      <alignment vertical="center"/>
    </xf>
    <xf numFmtId="0" fontId="15" fillId="9" borderId="0" xfId="0" applyNumberFormat="1" applyFont="1" applyFill="1" applyBorder="1" applyAlignment="1">
      <alignment horizontal="center" vertical="center" wrapText="1"/>
    </xf>
    <xf numFmtId="9" fontId="0" fillId="8" borderId="0" xfId="1" applyNumberFormat="1" applyFont="1" applyFill="1" applyBorder="1" applyAlignment="1">
      <alignment vertical="center"/>
    </xf>
    <xf numFmtId="41" fontId="0" fillId="8" borderId="12"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vertical="center" wrapText="1"/>
      <protection locked="0"/>
    </xf>
    <xf numFmtId="41" fontId="0" fillId="8" borderId="12" xfId="0" applyNumberFormat="1" applyFont="1" applyFill="1" applyBorder="1" applyAlignment="1">
      <alignment vertical="center"/>
    </xf>
    <xf numFmtId="0" fontId="29" fillId="0" borderId="0" xfId="7" applyFont="1" applyFill="1"/>
    <xf numFmtId="164" fontId="29" fillId="0" borderId="0" xfId="7" applyNumberFormat="1" applyFont="1" applyFill="1"/>
    <xf numFmtId="0" fontId="29" fillId="11" borderId="16" xfId="7" applyFont="1" applyFill="1" applyBorder="1"/>
    <xf numFmtId="0" fontId="29" fillId="11" borderId="17" xfId="7" applyFont="1" applyFill="1" applyBorder="1"/>
    <xf numFmtId="164" fontId="29" fillId="11" borderId="17" xfId="7" applyNumberFormat="1" applyFont="1" applyFill="1" applyBorder="1"/>
    <xf numFmtId="0" fontId="29" fillId="11" borderId="18" xfId="7" applyFont="1" applyFill="1" applyBorder="1"/>
    <xf numFmtId="0" fontId="29" fillId="11" borderId="19" xfId="7" applyFont="1" applyFill="1" applyBorder="1"/>
    <xf numFmtId="0" fontId="29" fillId="11" borderId="13" xfId="7" applyFont="1" applyFill="1" applyBorder="1"/>
    <xf numFmtId="164" fontId="29" fillId="11" borderId="13" xfId="7" applyNumberFormat="1" applyFont="1" applyFill="1" applyBorder="1"/>
    <xf numFmtId="0" fontId="29" fillId="11" borderId="20" xfId="7" applyFont="1" applyFill="1" applyBorder="1"/>
    <xf numFmtId="0" fontId="8" fillId="0" borderId="0" xfId="7" applyFill="1"/>
    <xf numFmtId="0" fontId="7" fillId="0" borderId="0" xfId="7" applyFont="1" applyFill="1"/>
    <xf numFmtId="0" fontId="8" fillId="8" borderId="0" xfId="7" applyFill="1"/>
    <xf numFmtId="0" fontId="8" fillId="8" borderId="15" xfId="7" applyFill="1" applyBorder="1"/>
    <xf numFmtId="0" fontId="31" fillId="0" borderId="0" xfId="7" applyFont="1" applyAlignment="1"/>
    <xf numFmtId="0" fontId="31" fillId="0" borderId="0" xfId="7" applyFont="1" applyFill="1"/>
    <xf numFmtId="0" fontId="31" fillId="0" borderId="0" xfId="7" applyFont="1"/>
    <xf numFmtId="164" fontId="31" fillId="0" borderId="0" xfId="7" applyNumberFormat="1" applyFont="1"/>
    <xf numFmtId="0" fontId="32" fillId="0" borderId="0" xfId="7" applyFont="1" applyAlignment="1"/>
    <xf numFmtId="0" fontId="31" fillId="0" borderId="0" xfId="7" applyFont="1" applyFill="1" applyAlignment="1">
      <alignment horizontal="center"/>
    </xf>
    <xf numFmtId="0" fontId="7" fillId="0" borderId="0" xfId="7" applyFont="1" applyFill="1" applyAlignment="1">
      <alignment horizontal="center"/>
    </xf>
    <xf numFmtId="0" fontId="8" fillId="0" borderId="0" xfId="7" applyFill="1" applyAlignment="1">
      <alignment horizontal="center"/>
    </xf>
    <xf numFmtId="3" fontId="8" fillId="0" borderId="0" xfId="7" applyNumberFormat="1" applyFill="1" applyAlignment="1">
      <alignment horizontal="center"/>
    </xf>
    <xf numFmtId="0" fontId="8" fillId="0" borderId="0" xfId="7" applyFill="1" applyBorder="1" applyAlignment="1">
      <alignment horizontal="center"/>
    </xf>
    <xf numFmtId="0" fontId="27" fillId="0" borderId="0" xfId="7" applyFont="1" applyFill="1" applyAlignment="1">
      <alignment horizontal="center"/>
    </xf>
    <xf numFmtId="0" fontId="8" fillId="0" borderId="21" xfId="7" applyFill="1" applyBorder="1" applyAlignment="1">
      <alignment horizontal="center"/>
    </xf>
    <xf numFmtId="0" fontId="8" fillId="0" borderId="22" xfId="7" applyFill="1" applyBorder="1" applyAlignment="1">
      <alignment horizontal="center"/>
    </xf>
    <xf numFmtId="0" fontId="7" fillId="0" borderId="0" xfId="7" applyFont="1" applyFill="1" applyBorder="1"/>
    <xf numFmtId="41" fontId="21" fillId="8" borderId="0" xfId="0" applyNumberFormat="1" applyFont="1" applyFill="1" applyBorder="1" applyAlignment="1" applyProtection="1">
      <alignment vertical="center"/>
      <protection locked="0"/>
    </xf>
    <xf numFmtId="41" fontId="0" fillId="0" borderId="0" xfId="0" applyAlignment="1"/>
    <xf numFmtId="41" fontId="0" fillId="0" borderId="0" xfId="0" applyAlignment="1">
      <alignment horizontal="left" indent="1"/>
    </xf>
    <xf numFmtId="41" fontId="0" fillId="8" borderId="24" xfId="0" applyNumberFormat="1" applyFont="1" applyFill="1" applyBorder="1" applyAlignment="1">
      <alignment vertical="center"/>
    </xf>
    <xf numFmtId="1" fontId="30" fillId="9" borderId="0" xfId="0" applyNumberFormat="1" applyFont="1" applyFill="1" applyBorder="1" applyAlignment="1">
      <alignment horizontal="center" vertical="center" wrapText="1"/>
    </xf>
    <xf numFmtId="1" fontId="30" fillId="9" borderId="24" xfId="0" applyNumberFormat="1" applyFont="1" applyFill="1" applyBorder="1" applyAlignment="1">
      <alignment horizontal="center" vertical="center" wrapText="1"/>
    </xf>
    <xf numFmtId="42" fontId="33" fillId="0" borderId="0" xfId="0" applyNumberFormat="1" applyFont="1" applyFill="1" applyBorder="1" applyAlignment="1">
      <alignment vertical="center"/>
    </xf>
    <xf numFmtId="41" fontId="0" fillId="0" borderId="12" xfId="0" applyNumberFormat="1" applyFont="1" applyFill="1" applyBorder="1" applyAlignment="1">
      <alignment vertical="center"/>
    </xf>
    <xf numFmtId="41" fontId="21" fillId="0" borderId="0" xfId="0" applyNumberFormat="1" applyFont="1" applyFill="1" applyBorder="1" applyAlignment="1">
      <alignment vertical="center"/>
    </xf>
    <xf numFmtId="41" fontId="21" fillId="7" borderId="0" xfId="0" applyNumberFormat="1" applyFont="1" applyFill="1" applyBorder="1" applyAlignment="1">
      <alignment vertical="center"/>
    </xf>
    <xf numFmtId="41" fontId="21" fillId="0" borderId="6" xfId="0" applyNumberFormat="1" applyFont="1" applyFill="1" applyBorder="1" applyAlignment="1">
      <alignment vertical="center"/>
    </xf>
    <xf numFmtId="41" fontId="21" fillId="0" borderId="7" xfId="0" applyNumberFormat="1" applyFont="1" applyFill="1" applyBorder="1" applyAlignment="1">
      <alignment vertical="center"/>
    </xf>
    <xf numFmtId="41" fontId="21" fillId="0" borderId="8" xfId="0" applyNumberFormat="1" applyFont="1" applyFill="1" applyBorder="1" applyAlignment="1">
      <alignment vertical="center"/>
    </xf>
    <xf numFmtId="41" fontId="21" fillId="0" borderId="9" xfId="0" applyNumberFormat="1" applyFont="1" applyFill="1" applyBorder="1" applyAlignment="1">
      <alignment vertical="center"/>
    </xf>
    <xf numFmtId="41" fontId="21" fillId="0" borderId="10" xfId="0" applyNumberFormat="1" applyFont="1" applyFill="1" applyBorder="1" applyAlignment="1">
      <alignment vertical="center"/>
    </xf>
    <xf numFmtId="164" fontId="34" fillId="6" borderId="0" xfId="7" applyNumberFormat="1" applyFont="1" applyFill="1"/>
    <xf numFmtId="164" fontId="34" fillId="8" borderId="0" xfId="7" applyNumberFormat="1" applyFont="1" applyFill="1"/>
    <xf numFmtId="41" fontId="21" fillId="0" borderId="0" xfId="0" applyNumberFormat="1" applyFont="1" applyFill="1" applyBorder="1" applyAlignment="1" applyProtection="1">
      <alignment vertical="center"/>
      <protection locked="0"/>
    </xf>
    <xf numFmtId="14" fontId="35" fillId="11" borderId="0" xfId="0" applyNumberFormat="1" applyFont="1" applyFill="1" applyBorder="1" applyAlignment="1">
      <alignment horizontal="center" vertical="center" wrapText="1"/>
    </xf>
    <xf numFmtId="41" fontId="0" fillId="12" borderId="0" xfId="0" applyNumberFormat="1" applyFont="1" applyFill="1" applyBorder="1" applyAlignment="1" applyProtection="1">
      <alignment vertical="center"/>
      <protection locked="0"/>
    </xf>
    <xf numFmtId="9" fontId="0" fillId="0" borderId="0" xfId="1" applyNumberFormat="1" applyFont="1" applyFill="1" applyBorder="1" applyAlignment="1">
      <alignment vertical="center"/>
    </xf>
    <xf numFmtId="0" fontId="0" fillId="0" borderId="0" xfId="8" applyNumberFormat="1" applyFont="1" applyBorder="1" applyAlignment="1">
      <alignment vertical="center"/>
    </xf>
    <xf numFmtId="41" fontId="0" fillId="0" borderId="0" xfId="0" applyNumberFormat="1" applyFont="1" applyBorder="1" applyAlignment="1">
      <alignment vertical="center"/>
    </xf>
    <xf numFmtId="9" fontId="0" fillId="0" borderId="0" xfId="1" applyNumberFormat="1" applyFont="1" applyBorder="1" applyAlignment="1">
      <alignment vertical="center"/>
    </xf>
    <xf numFmtId="41" fontId="36" fillId="0" borderId="0" xfId="0" applyNumberFormat="1" applyFont="1" applyFill="1" applyBorder="1" applyAlignment="1">
      <alignment vertical="center"/>
    </xf>
    <xf numFmtId="41" fontId="0" fillId="6" borderId="0" xfId="0" applyNumberFormat="1" applyFont="1" applyFill="1" applyBorder="1" applyAlignment="1" applyProtection="1">
      <alignment vertical="center"/>
      <protection locked="0"/>
    </xf>
    <xf numFmtId="41" fontId="0" fillId="6" borderId="0" xfId="0" applyNumberFormat="1" applyFont="1" applyFill="1" applyBorder="1" applyAlignment="1">
      <alignment vertical="center"/>
    </xf>
    <xf numFmtId="9" fontId="0" fillId="6" borderId="0" xfId="1" applyNumberFormat="1" applyFont="1" applyFill="1" applyBorder="1" applyAlignment="1">
      <alignment vertical="center"/>
    </xf>
    <xf numFmtId="41" fontId="21" fillId="6" borderId="0" xfId="0" applyNumberFormat="1" applyFont="1" applyFill="1" applyBorder="1" applyAlignment="1" applyProtection="1">
      <alignment vertical="center"/>
      <protection locked="0"/>
    </xf>
    <xf numFmtId="41" fontId="0" fillId="4" borderId="0" xfId="0" applyNumberFormat="1" applyFont="1" applyFill="1" applyBorder="1" applyAlignment="1">
      <alignment vertical="center"/>
    </xf>
    <xf numFmtId="41" fontId="0" fillId="4" borderId="12" xfId="0" applyNumberFormat="1" applyFont="1" applyFill="1" applyBorder="1" applyAlignment="1" applyProtection="1">
      <alignment vertical="center"/>
      <protection locked="0"/>
    </xf>
    <xf numFmtId="41" fontId="0" fillId="4" borderId="3" xfId="0" applyNumberFormat="1" applyFont="1" applyFill="1" applyBorder="1" applyAlignment="1">
      <alignment vertical="center"/>
    </xf>
    <xf numFmtId="41" fontId="0" fillId="4" borderId="2" xfId="0" applyNumberFormat="1" applyFont="1" applyFill="1" applyBorder="1" applyAlignment="1">
      <alignment vertical="center"/>
    </xf>
    <xf numFmtId="41" fontId="0" fillId="4" borderId="1" xfId="0" applyNumberFormat="1" applyFont="1" applyFill="1" applyBorder="1" applyAlignment="1">
      <alignment vertical="center"/>
    </xf>
    <xf numFmtId="0" fontId="5" fillId="0" borderId="0" xfId="7" applyFont="1"/>
    <xf numFmtId="41" fontId="21" fillId="9" borderId="0" xfId="0" applyNumberFormat="1" applyFont="1" applyFill="1" applyBorder="1" applyAlignment="1">
      <alignment vertical="center"/>
    </xf>
    <xf numFmtId="41" fontId="21" fillId="9" borderId="1" xfId="0" applyNumberFormat="1" applyFont="1" applyFill="1" applyBorder="1" applyAlignment="1">
      <alignment vertical="center"/>
    </xf>
    <xf numFmtId="41" fontId="39" fillId="0" borderId="0" xfId="0" applyNumberFormat="1" applyFont="1" applyBorder="1" applyAlignment="1">
      <alignment vertical="center"/>
    </xf>
    <xf numFmtId="9" fontId="39" fillId="0" borderId="0" xfId="0" applyNumberFormat="1" applyFont="1" applyBorder="1" applyAlignment="1">
      <alignment vertical="center"/>
    </xf>
    <xf numFmtId="0" fontId="40" fillId="0" borderId="0" xfId="0" applyNumberFormat="1" applyFont="1" applyBorder="1" applyAlignment="1">
      <alignment horizontal="center" vertical="center" wrapText="1"/>
    </xf>
    <xf numFmtId="165" fontId="0" fillId="6" borderId="0" xfId="1" applyNumberFormat="1" applyFont="1" applyFill="1" applyBorder="1" applyAlignment="1">
      <alignment vertical="center"/>
    </xf>
    <xf numFmtId="165" fontId="0" fillId="9" borderId="0" xfId="1" applyNumberFormat="1" applyFont="1" applyFill="1" applyBorder="1" applyAlignment="1">
      <alignment vertical="center"/>
    </xf>
    <xf numFmtId="0" fontId="41" fillId="0" borderId="0" xfId="7" applyFont="1" applyAlignment="1"/>
    <xf numFmtId="164" fontId="34" fillId="0" borderId="0" xfId="7" applyNumberFormat="1" applyFont="1"/>
    <xf numFmtId="164" fontId="42" fillId="9" borderId="3" xfId="7" applyNumberFormat="1" applyFont="1" applyFill="1" applyBorder="1"/>
    <xf numFmtId="164" fontId="41" fillId="0" borderId="0" xfId="7" applyNumberFormat="1" applyFont="1"/>
    <xf numFmtId="164" fontId="42" fillId="9" borderId="0" xfId="7" applyNumberFormat="1" applyFont="1" applyFill="1" applyBorder="1"/>
    <xf numFmtId="164" fontId="42" fillId="10" borderId="3" xfId="7" applyNumberFormat="1" applyFont="1" applyFill="1" applyBorder="1"/>
    <xf numFmtId="164" fontId="34" fillId="10" borderId="14" xfId="7" applyNumberFormat="1" applyFont="1" applyFill="1" applyBorder="1"/>
    <xf numFmtId="164" fontId="42" fillId="10" borderId="0" xfId="7" applyNumberFormat="1" applyFont="1" applyFill="1"/>
    <xf numFmtId="0" fontId="33" fillId="0" borderId="0" xfId="0" applyNumberFormat="1" applyFont="1" applyFill="1" applyBorder="1" applyAlignment="1">
      <alignment horizontal="center" vertical="center" wrapText="1"/>
    </xf>
    <xf numFmtId="41" fontId="0" fillId="8" borderId="26" xfId="0" applyNumberFormat="1" applyFont="1" applyFill="1" applyBorder="1" applyAlignment="1">
      <alignment vertical="center"/>
    </xf>
    <xf numFmtId="41" fontId="0" fillId="8" borderId="26" xfId="0" applyNumberFormat="1" applyFont="1" applyFill="1" applyBorder="1" applyAlignment="1" applyProtection="1">
      <alignment vertical="center"/>
      <protection locked="0"/>
    </xf>
    <xf numFmtId="168" fontId="0" fillId="0" borderId="0" xfId="0" applyNumberFormat="1" applyFont="1" applyBorder="1" applyAlignment="1">
      <alignment vertical="center"/>
    </xf>
    <xf numFmtId="0" fontId="3" fillId="0" borderId="0" xfId="7" applyFont="1" applyAlignment="1">
      <alignment horizontal="left" indent="1"/>
    </xf>
    <xf numFmtId="0" fontId="3" fillId="6" borderId="0" xfId="7" applyFont="1" applyFill="1"/>
    <xf numFmtId="0" fontId="3" fillId="0" borderId="0" xfId="7" applyFont="1" applyFill="1"/>
    <xf numFmtId="41" fontId="39" fillId="8" borderId="0" xfId="0" applyNumberFormat="1" applyFont="1" applyFill="1" applyBorder="1" applyAlignment="1">
      <alignment vertical="center"/>
    </xf>
    <xf numFmtId="41" fontId="21" fillId="0" borderId="4" xfId="0" applyNumberFormat="1" applyFont="1" applyFill="1" applyBorder="1" applyAlignment="1">
      <alignment horizontal="left" vertical="center"/>
    </xf>
    <xf numFmtId="41" fontId="21" fillId="0" borderId="5" xfId="0" applyNumberFormat="1" applyFont="1" applyFill="1" applyBorder="1" applyAlignment="1">
      <alignment horizontal="left" vertical="center"/>
    </xf>
    <xf numFmtId="41" fontId="21" fillId="9" borderId="26" xfId="0" applyNumberFormat="1" applyFont="1" applyFill="1" applyBorder="1" applyAlignment="1">
      <alignment vertical="center"/>
    </xf>
    <xf numFmtId="41" fontId="44" fillId="7" borderId="0" xfId="0" applyNumberFormat="1" applyFont="1" applyFill="1" applyBorder="1" applyAlignment="1">
      <alignment horizontal="left" vertical="center"/>
    </xf>
    <xf numFmtId="41" fontId="43" fillId="7" borderId="0" xfId="0" applyNumberFormat="1" applyFont="1" applyFill="1" applyBorder="1" applyAlignment="1">
      <alignment vertical="center"/>
    </xf>
    <xf numFmtId="41" fontId="45" fillId="7" borderId="0" xfId="0" applyNumberFormat="1" applyFont="1" applyFill="1" applyBorder="1" applyAlignment="1">
      <alignment horizontal="left" vertical="center"/>
    </xf>
    <xf numFmtId="41" fontId="45" fillId="7" borderId="0" xfId="0" applyNumberFormat="1" applyFont="1" applyFill="1" applyBorder="1" applyAlignment="1">
      <alignment vertical="center"/>
    </xf>
    <xf numFmtId="41" fontId="46" fillId="7" borderId="0" xfId="0" applyNumberFormat="1" applyFont="1" applyFill="1" applyBorder="1" applyAlignment="1">
      <alignment horizontal="left" vertical="center"/>
    </xf>
    <xf numFmtId="41" fontId="21" fillId="7" borderId="0" xfId="0" applyNumberFormat="1" applyFont="1" applyFill="1" applyBorder="1" applyAlignment="1">
      <alignment horizontal="right" vertical="center"/>
    </xf>
    <xf numFmtId="41" fontId="21" fillId="7" borderId="8" xfId="0" applyNumberFormat="1" applyFont="1" applyFill="1" applyBorder="1" applyAlignment="1">
      <alignment vertical="center"/>
    </xf>
    <xf numFmtId="41" fontId="21" fillId="7" borderId="9" xfId="0" applyNumberFormat="1" applyFont="1" applyFill="1" applyBorder="1" applyAlignment="1">
      <alignment vertical="center"/>
    </xf>
    <xf numFmtId="41" fontId="21" fillId="7" borderId="8" xfId="0" applyNumberFormat="1" applyFont="1" applyFill="1" applyBorder="1" applyAlignment="1">
      <alignment horizontal="left" vertical="center"/>
    </xf>
    <xf numFmtId="41" fontId="43" fillId="7" borderId="0" xfId="0" applyNumberFormat="1" applyFont="1" applyFill="1" applyBorder="1" applyAlignment="1">
      <alignment horizontal="right" vertical="center"/>
    </xf>
    <xf numFmtId="41" fontId="43" fillId="7" borderId="25" xfId="0" applyNumberFormat="1" applyFont="1" applyFill="1" applyBorder="1" applyAlignment="1">
      <alignment vertical="center"/>
    </xf>
    <xf numFmtId="41" fontId="43" fillId="0" borderId="4" xfId="0" applyNumberFormat="1" applyFont="1" applyFill="1" applyBorder="1" applyAlignment="1">
      <alignment vertical="center"/>
    </xf>
    <xf numFmtId="41" fontId="43" fillId="0" borderId="5" xfId="0" applyNumberFormat="1" applyFont="1" applyFill="1" applyBorder="1" applyAlignment="1">
      <alignment vertical="center"/>
    </xf>
    <xf numFmtId="41" fontId="43" fillId="7" borderId="6" xfId="0" applyNumberFormat="1" applyFont="1" applyFill="1" applyBorder="1" applyAlignment="1">
      <alignment vertical="center"/>
    </xf>
    <xf numFmtId="41" fontId="43" fillId="0" borderId="0" xfId="0" applyNumberFormat="1" applyFont="1" applyFill="1" applyBorder="1" applyAlignment="1">
      <alignment vertical="center"/>
    </xf>
    <xf numFmtId="41" fontId="43" fillId="0" borderId="7" xfId="0" applyNumberFormat="1" applyFont="1" applyFill="1" applyBorder="1" applyAlignment="1">
      <alignment vertical="center"/>
    </xf>
    <xf numFmtId="41" fontId="43" fillId="0" borderId="6" xfId="0" applyNumberFormat="1" applyFont="1" applyFill="1" applyBorder="1" applyAlignment="1">
      <alignment vertical="center"/>
    </xf>
    <xf numFmtId="0" fontId="45" fillId="0" borderId="0" xfId="0" applyNumberFormat="1" applyFont="1" applyFill="1" applyBorder="1" applyAlignment="1">
      <alignment horizontal="center" vertical="center" wrapText="1"/>
    </xf>
    <xf numFmtId="167" fontId="43" fillId="7" borderId="0" xfId="0" applyNumberFormat="1" applyFont="1" applyFill="1" applyBorder="1" applyAlignment="1">
      <alignment vertical="center"/>
    </xf>
    <xf numFmtId="41" fontId="43" fillId="0" borderId="24" xfId="0" applyNumberFormat="1" applyFont="1" applyFill="1" applyBorder="1" applyAlignment="1">
      <alignment horizontal="left" vertical="center"/>
    </xf>
    <xf numFmtId="41" fontId="43" fillId="0" borderId="24" xfId="0" applyNumberFormat="1" applyFont="1" applyFill="1" applyBorder="1" applyAlignment="1">
      <alignment vertical="center"/>
    </xf>
    <xf numFmtId="41" fontId="45" fillId="0" borderId="0" xfId="0" applyNumberFormat="1" applyFont="1" applyFill="1" applyBorder="1" applyAlignment="1">
      <alignment vertical="center"/>
    </xf>
    <xf numFmtId="166" fontId="43" fillId="7" borderId="0" xfId="0" applyNumberFormat="1" applyFont="1" applyFill="1" applyBorder="1" applyAlignment="1">
      <alignment vertical="center"/>
    </xf>
    <xf numFmtId="10" fontId="43" fillId="7" borderId="0" xfId="1" applyNumberFormat="1" applyFont="1" applyFill="1" applyBorder="1" applyAlignment="1">
      <alignment vertical="center"/>
    </xf>
    <xf numFmtId="10" fontId="21" fillId="0" borderId="0" xfId="1" applyNumberFormat="1" applyFont="1" applyFill="1" applyBorder="1">
      <alignment vertical="center"/>
    </xf>
    <xf numFmtId="10" fontId="21" fillId="0" borderId="0" xfId="0" applyNumberFormat="1" applyFont="1" applyFill="1" applyBorder="1" applyAlignment="1">
      <alignment horizontal="right" vertical="center" wrapText="1"/>
    </xf>
    <xf numFmtId="10" fontId="21" fillId="0" borderId="0" xfId="0" applyNumberFormat="1" applyFont="1" applyFill="1" applyBorder="1" applyAlignment="1">
      <alignment horizontal="right" vertical="center"/>
    </xf>
    <xf numFmtId="10" fontId="21" fillId="0" borderId="0" xfId="1" applyNumberFormat="1" applyFont="1" applyFill="1" applyBorder="1" applyAlignment="1">
      <alignment horizontal="right" vertical="center"/>
    </xf>
    <xf numFmtId="41" fontId="21" fillId="0" borderId="24" xfId="0" applyNumberFormat="1" applyFont="1" applyFill="1" applyBorder="1" applyAlignment="1">
      <alignment vertical="center"/>
    </xf>
    <xf numFmtId="10" fontId="21" fillId="0" borderId="24" xfId="1" applyNumberFormat="1" applyFont="1" applyFill="1" applyBorder="1" applyAlignment="1">
      <alignment horizontal="right" vertical="center"/>
    </xf>
    <xf numFmtId="10" fontId="33" fillId="0" borderId="0" xfId="1" applyNumberFormat="1" applyFont="1" applyFill="1" applyBorder="1" applyAlignment="1">
      <alignment horizontal="right" vertical="center"/>
    </xf>
    <xf numFmtId="10" fontId="21" fillId="7" borderId="0" xfId="0" applyNumberFormat="1" applyFont="1" applyFill="1" applyBorder="1" applyAlignment="1">
      <alignment vertical="center"/>
    </xf>
    <xf numFmtId="41" fontId="48" fillId="0" borderId="0" xfId="0" applyNumberFormat="1" applyFont="1" applyFill="1" applyBorder="1" applyAlignment="1">
      <alignment horizontal="left" vertical="center"/>
    </xf>
    <xf numFmtId="41" fontId="49" fillId="7" borderId="0" xfId="0" applyNumberFormat="1" applyFont="1" applyFill="1" applyBorder="1" applyAlignment="1">
      <alignment horizontal="right" vertical="center"/>
    </xf>
    <xf numFmtId="41" fontId="45" fillId="7" borderId="0" xfId="0" applyNumberFormat="1" applyFont="1" applyFill="1" applyBorder="1" applyAlignment="1">
      <alignment horizontal="right" vertical="center"/>
    </xf>
    <xf numFmtId="41" fontId="50" fillId="7" borderId="0" xfId="0" applyNumberFormat="1" applyFont="1" applyFill="1" applyBorder="1" applyAlignment="1">
      <alignment horizontal="right" vertical="center"/>
    </xf>
    <xf numFmtId="41" fontId="21" fillId="0" borderId="0" xfId="0" applyNumberFormat="1" applyFont="1" applyFill="1" applyBorder="1" applyAlignment="1">
      <alignment horizontal="left" vertical="center"/>
    </xf>
    <xf numFmtId="41" fontId="21" fillId="0" borderId="24" xfId="0" applyNumberFormat="1" applyFont="1" applyFill="1" applyBorder="1" applyAlignment="1" applyProtection="1">
      <alignment vertical="center"/>
      <protection locked="0"/>
    </xf>
    <xf numFmtId="41" fontId="48" fillId="0" borderId="0" xfId="0" applyNumberFormat="1" applyFont="1" applyFill="1" applyBorder="1" applyAlignment="1"/>
    <xf numFmtId="41" fontId="48" fillId="0" borderId="0" xfId="0" applyNumberFormat="1" applyFont="1" applyFill="1" applyBorder="1" applyAlignment="1">
      <alignment vertical="center"/>
    </xf>
    <xf numFmtId="0" fontId="2" fillId="0" borderId="0" xfId="7" applyFont="1" applyAlignment="1">
      <alignment horizontal="left" indent="1"/>
    </xf>
    <xf numFmtId="0" fontId="2" fillId="0" borderId="0" xfId="7" applyFont="1" applyFill="1"/>
    <xf numFmtId="41" fontId="21" fillId="9" borderId="2" xfId="0" applyNumberFormat="1" applyFont="1" applyFill="1" applyBorder="1" applyAlignment="1">
      <alignment vertical="center"/>
    </xf>
    <xf numFmtId="41" fontId="21" fillId="0" borderId="24" xfId="0" applyNumberFormat="1" applyFont="1" applyFill="1" applyBorder="1" applyAlignment="1" applyProtection="1">
      <alignment horizontal="left" vertical="center"/>
      <protection locked="0"/>
    </xf>
    <xf numFmtId="41" fontId="43" fillId="0" borderId="27" xfId="0" applyNumberFormat="1" applyFont="1" applyFill="1" applyBorder="1" applyAlignment="1">
      <alignment vertical="center"/>
    </xf>
    <xf numFmtId="0" fontId="45" fillId="0" borderId="29" xfId="0" applyNumberFormat="1" applyFont="1" applyFill="1" applyBorder="1" applyAlignment="1">
      <alignment horizontal="center" vertical="center" wrapText="1"/>
    </xf>
    <xf numFmtId="10" fontId="43" fillId="0" borderId="29" xfId="1" applyNumberFormat="1" applyFont="1" applyFill="1" applyBorder="1" applyAlignment="1">
      <alignment vertical="center"/>
    </xf>
    <xf numFmtId="41" fontId="43" fillId="0" borderId="30" xfId="0" applyNumberFormat="1" applyFont="1" applyFill="1" applyBorder="1" applyAlignment="1">
      <alignment horizontal="left" vertical="center"/>
    </xf>
    <xf numFmtId="10" fontId="43" fillId="0" borderId="31" xfId="1" applyNumberFormat="1" applyFont="1" applyFill="1" applyBorder="1" applyAlignment="1">
      <alignment vertical="center"/>
    </xf>
    <xf numFmtId="10" fontId="45" fillId="0" borderId="29" xfId="1" applyNumberFormat="1" applyFont="1" applyFill="1" applyBorder="1" applyAlignment="1">
      <alignment vertical="center"/>
    </xf>
    <xf numFmtId="41" fontId="43" fillId="0" borderId="29" xfId="0" applyNumberFormat="1" applyFont="1" applyFill="1" applyBorder="1" applyAlignment="1">
      <alignment vertical="center"/>
    </xf>
    <xf numFmtId="41" fontId="43" fillId="0" borderId="33" xfId="0" applyNumberFormat="1" applyFont="1" applyFill="1" applyBorder="1" applyAlignment="1">
      <alignment vertical="center"/>
    </xf>
    <xf numFmtId="41" fontId="43" fillId="0" borderId="36" xfId="0" applyNumberFormat="1" applyFont="1" applyFill="1" applyBorder="1" applyAlignment="1">
      <alignment vertical="center"/>
    </xf>
    <xf numFmtId="41" fontId="43" fillId="0" borderId="32" xfId="0" applyNumberFormat="1" applyFont="1" applyFill="1" applyBorder="1" applyAlignment="1">
      <alignment vertical="center"/>
    </xf>
    <xf numFmtId="41" fontId="43" fillId="0" borderId="34" xfId="0" applyNumberFormat="1" applyFont="1" applyFill="1" applyBorder="1" applyAlignment="1">
      <alignment vertical="center"/>
    </xf>
    <xf numFmtId="41" fontId="43" fillId="0" borderId="40" xfId="0" applyNumberFormat="1" applyFont="1" applyFill="1" applyBorder="1" applyAlignment="1">
      <alignment vertical="center"/>
    </xf>
    <xf numFmtId="41" fontId="43" fillId="7" borderId="41" xfId="0" applyNumberFormat="1" applyFont="1" applyFill="1" applyBorder="1" applyAlignment="1">
      <alignment vertical="center"/>
    </xf>
    <xf numFmtId="41" fontId="43" fillId="0" borderId="43" xfId="0" applyNumberFormat="1" applyFont="1" applyFill="1" applyBorder="1" applyAlignment="1">
      <alignment vertical="center"/>
    </xf>
    <xf numFmtId="41" fontId="43" fillId="0" borderId="41" xfId="0" applyNumberFormat="1" applyFont="1" applyFill="1" applyBorder="1" applyAlignment="1">
      <alignment vertical="center"/>
    </xf>
    <xf numFmtId="41" fontId="43" fillId="0" borderId="42" xfId="0" applyNumberFormat="1" applyFont="1" applyFill="1" applyBorder="1" applyAlignment="1">
      <alignment vertical="center"/>
    </xf>
    <xf numFmtId="41" fontId="43" fillId="0" borderId="38" xfId="0" applyNumberFormat="1" applyFont="1" applyFill="1" applyBorder="1" applyAlignment="1">
      <alignment vertical="center"/>
    </xf>
    <xf numFmtId="41" fontId="43" fillId="0" borderId="39" xfId="0" applyNumberFormat="1" applyFont="1" applyFill="1" applyBorder="1" applyAlignment="1">
      <alignment vertical="center"/>
    </xf>
    <xf numFmtId="41" fontId="43" fillId="7" borderId="43"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38" xfId="0" applyNumberFormat="1" applyFont="1" applyFill="1" applyBorder="1" applyAlignment="1">
      <alignment vertical="center"/>
    </xf>
    <xf numFmtId="41" fontId="21" fillId="0" borderId="27" xfId="0" applyNumberFormat="1" applyFont="1" applyFill="1" applyBorder="1" applyAlignment="1">
      <alignment vertical="center"/>
    </xf>
    <xf numFmtId="41" fontId="21" fillId="0" borderId="29" xfId="0" applyNumberFormat="1" applyFont="1" applyFill="1" applyBorder="1" applyAlignment="1">
      <alignment vertical="center"/>
    </xf>
    <xf numFmtId="41" fontId="21" fillId="0" borderId="32" xfId="0" applyNumberFormat="1" applyFont="1" applyFill="1" applyBorder="1" applyAlignment="1">
      <alignment vertical="center"/>
    </xf>
    <xf numFmtId="41" fontId="21" fillId="0" borderId="33" xfId="0" applyNumberFormat="1" applyFont="1" applyFill="1" applyBorder="1" applyAlignment="1">
      <alignment vertical="center"/>
    </xf>
    <xf numFmtId="41" fontId="21" fillId="0" borderId="34" xfId="0" applyNumberFormat="1" applyFont="1" applyFill="1" applyBorder="1" applyAlignment="1">
      <alignment vertical="center"/>
    </xf>
    <xf numFmtId="41" fontId="21" fillId="7" borderId="32" xfId="0" applyNumberFormat="1" applyFont="1" applyFill="1" applyBorder="1" applyAlignment="1">
      <alignment vertical="center"/>
    </xf>
    <xf numFmtId="41" fontId="33" fillId="0" borderId="44" xfId="0" applyNumberFormat="1" applyFont="1" applyFill="1" applyBorder="1" applyAlignment="1">
      <alignment vertical="center"/>
    </xf>
    <xf numFmtId="41" fontId="21" fillId="0" borderId="35" xfId="0" applyNumberFormat="1" applyFont="1" applyFill="1" applyBorder="1" applyAlignment="1">
      <alignment vertical="center"/>
    </xf>
    <xf numFmtId="0" fontId="33" fillId="0" borderId="35" xfId="0" applyNumberFormat="1" applyFont="1" applyFill="1" applyBorder="1" applyAlignment="1">
      <alignment horizontal="center" vertical="center" wrapText="1"/>
    </xf>
    <xf numFmtId="41" fontId="21" fillId="0" borderId="30" xfId="0" applyNumberFormat="1" applyFont="1" applyFill="1" applyBorder="1" applyAlignment="1" applyProtection="1">
      <alignment horizontal="left" vertical="center"/>
      <protection locked="0"/>
    </xf>
    <xf numFmtId="41" fontId="33" fillId="0" borderId="27" xfId="0" applyNumberFormat="1" applyFont="1" applyFill="1" applyBorder="1" applyAlignment="1">
      <alignment vertical="center"/>
    </xf>
    <xf numFmtId="41" fontId="33" fillId="0" borderId="27" xfId="0" applyNumberFormat="1" applyFont="1" applyFill="1" applyBorder="1" applyAlignment="1">
      <alignment horizontal="left" vertical="center" indent="2"/>
    </xf>
    <xf numFmtId="41" fontId="33" fillId="0" borderId="32" xfId="0" applyNumberFormat="1" applyFont="1" applyFill="1" applyBorder="1" applyAlignment="1">
      <alignment horizontal="left" vertical="center" indent="2"/>
    </xf>
    <xf numFmtId="42" fontId="33" fillId="0" borderId="33" xfId="0" applyNumberFormat="1" applyFont="1" applyFill="1" applyBorder="1" applyAlignment="1">
      <alignment vertical="center"/>
    </xf>
    <xf numFmtId="10" fontId="33" fillId="0" borderId="33" xfId="1" applyNumberFormat="1" applyFont="1" applyFill="1" applyBorder="1" applyAlignment="1">
      <alignment horizontal="right" vertical="center"/>
    </xf>
    <xf numFmtId="41" fontId="21" fillId="7" borderId="33" xfId="0" applyNumberFormat="1" applyFont="1" applyFill="1" applyBorder="1" applyAlignment="1">
      <alignment vertical="center"/>
    </xf>
    <xf numFmtId="41" fontId="21" fillId="0" borderId="27" xfId="0" applyNumberFormat="1" applyFont="1" applyFill="1" applyBorder="1" applyAlignment="1">
      <alignment horizontal="left" vertical="center"/>
    </xf>
    <xf numFmtId="0" fontId="33" fillId="0" borderId="46" xfId="0" applyNumberFormat="1" applyFont="1" applyFill="1" applyBorder="1" applyAlignment="1">
      <alignment horizontal="center" vertical="center" wrapText="1"/>
    </xf>
    <xf numFmtId="41" fontId="21" fillId="0" borderId="45" xfId="0" applyNumberFormat="1" applyFont="1" applyFill="1" applyBorder="1" applyAlignment="1" applyProtection="1">
      <alignment vertical="center"/>
      <protection locked="0"/>
    </xf>
    <xf numFmtId="10" fontId="21" fillId="0" borderId="28" xfId="1" applyNumberFormat="1" applyFont="1" applyFill="1" applyBorder="1">
      <alignment vertical="center"/>
    </xf>
    <xf numFmtId="10" fontId="21" fillId="0" borderId="29" xfId="0" applyNumberFormat="1" applyFont="1" applyFill="1" applyBorder="1" applyAlignment="1">
      <alignment horizontal="right" vertical="center" wrapText="1"/>
    </xf>
    <xf numFmtId="10" fontId="21" fillId="0" borderId="29" xfId="0" applyNumberFormat="1" applyFont="1" applyFill="1" applyBorder="1" applyAlignment="1">
      <alignment horizontal="right" vertical="center"/>
    </xf>
    <xf numFmtId="10" fontId="21" fillId="0" borderId="29" xfId="1" applyNumberFormat="1" applyFont="1" applyFill="1" applyBorder="1" applyAlignment="1">
      <alignment horizontal="right" vertical="center"/>
    </xf>
    <xf numFmtId="10" fontId="21" fillId="0" borderId="31" xfId="1" applyNumberFormat="1" applyFont="1" applyFill="1" applyBorder="1" applyAlignment="1">
      <alignment horizontal="right" vertical="center"/>
    </xf>
    <xf numFmtId="10" fontId="33" fillId="0" borderId="29" xfId="1" applyNumberFormat="1" applyFont="1" applyFill="1" applyBorder="1" applyAlignment="1">
      <alignment horizontal="right" vertical="center"/>
    </xf>
    <xf numFmtId="41" fontId="48" fillId="0" borderId="29" xfId="0" applyNumberFormat="1" applyFont="1" applyFill="1" applyBorder="1" applyAlignment="1">
      <alignment vertical="center"/>
    </xf>
    <xf numFmtId="41" fontId="43" fillId="0" borderId="51" xfId="0" applyNumberFormat="1" applyFont="1" applyFill="1" applyBorder="1" applyAlignment="1">
      <alignment horizontal="left" vertical="center"/>
    </xf>
    <xf numFmtId="41" fontId="43" fillId="0" borderId="33" xfId="0" applyNumberFormat="1" applyFont="1" applyFill="1" applyBorder="1" applyAlignment="1">
      <alignment horizontal="left" vertical="center"/>
    </xf>
    <xf numFmtId="10" fontId="43" fillId="0" borderId="52" xfId="1" applyNumberFormat="1" applyFont="1" applyFill="1" applyBorder="1" applyAlignment="1">
      <alignment vertical="center"/>
    </xf>
    <xf numFmtId="41" fontId="21" fillId="0" borderId="39" xfId="0" applyNumberFormat="1" applyFont="1" applyFill="1" applyBorder="1" applyAlignment="1">
      <alignment vertical="center"/>
    </xf>
    <xf numFmtId="41" fontId="0" fillId="8" borderId="35" xfId="0" applyNumberFormat="1" applyFont="1" applyFill="1" applyBorder="1" applyAlignment="1">
      <alignment vertical="center"/>
    </xf>
    <xf numFmtId="41" fontId="0" fillId="8" borderId="35" xfId="0" applyNumberFormat="1" applyFont="1" applyFill="1" applyBorder="1" applyAlignment="1" applyProtection="1">
      <alignment vertical="center"/>
      <protection locked="0"/>
    </xf>
    <xf numFmtId="0" fontId="1" fillId="0" borderId="0" xfId="7" applyFont="1"/>
    <xf numFmtId="41" fontId="21" fillId="8" borderId="0" xfId="0" applyNumberFormat="1" applyFont="1" applyFill="1" applyBorder="1" applyAlignment="1">
      <alignment vertical="center"/>
    </xf>
    <xf numFmtId="164" fontId="34" fillId="13" borderId="0" xfId="7" applyNumberFormat="1" applyFont="1" applyFill="1"/>
    <xf numFmtId="0" fontId="10" fillId="0" borderId="0" xfId="0" applyNumberFormat="1" applyFont="1" applyBorder="1" applyAlignment="1">
      <alignment horizontal="justify" vertical="justify" wrapText="1"/>
    </xf>
    <xf numFmtId="41" fontId="0" fillId="0" borderId="0" xfId="0" applyNumberFormat="1" applyFont="1" applyBorder="1" applyAlignment="1">
      <alignment vertical="center" wrapText="1"/>
    </xf>
    <xf numFmtId="0" fontId="11" fillId="0" borderId="0" xfId="0" applyNumberFormat="1" applyFont="1" applyBorder="1" applyAlignment="1">
      <alignment vertical="top" wrapText="1"/>
    </xf>
    <xf numFmtId="0" fontId="11" fillId="0" borderId="0" xfId="0" applyNumberFormat="1" applyFont="1" applyBorder="1" applyAlignment="1">
      <alignment horizontal="justify" vertical="justify" wrapText="1"/>
    </xf>
    <xf numFmtId="41" fontId="15" fillId="0" borderId="0" xfId="0" applyNumberFormat="1" applyFont="1" applyBorder="1" applyAlignment="1">
      <alignment vertical="center"/>
    </xf>
    <xf numFmtId="41" fontId="21" fillId="0" borderId="27" xfId="0" applyNumberFormat="1" applyFont="1" applyFill="1" applyBorder="1" applyAlignment="1" applyProtection="1">
      <alignment horizontal="left" vertical="center"/>
      <protection locked="0"/>
    </xf>
    <xf numFmtId="41" fontId="21" fillId="0" borderId="0" xfId="0" applyNumberFormat="1" applyFont="1" applyFill="1" applyBorder="1" applyAlignment="1" applyProtection="1">
      <alignment horizontal="left" vertical="center"/>
      <protection locked="0"/>
    </xf>
    <xf numFmtId="41" fontId="21" fillId="0" borderId="37" xfId="0" applyNumberFormat="1" applyFont="1" applyFill="1" applyBorder="1" applyAlignment="1">
      <alignment horizontal="left" vertical="center"/>
    </xf>
    <xf numFmtId="41" fontId="21" fillId="0" borderId="38" xfId="0" applyNumberFormat="1" applyFont="1" applyFill="1" applyBorder="1" applyAlignment="1">
      <alignment horizontal="left" vertical="center"/>
    </xf>
    <xf numFmtId="41" fontId="21" fillId="0" borderId="47" xfId="0" applyNumberFormat="1" applyFont="1" applyFill="1" applyBorder="1" applyAlignment="1" applyProtection="1">
      <alignment horizontal="left" vertical="center"/>
      <protection locked="0"/>
    </xf>
    <xf numFmtId="41" fontId="21" fillId="0" borderId="45" xfId="0" applyNumberFormat="1" applyFont="1" applyFill="1" applyBorder="1" applyAlignment="1" applyProtection="1">
      <alignment horizontal="left" vertical="center"/>
      <protection locked="0"/>
    </xf>
    <xf numFmtId="41" fontId="21" fillId="0" borderId="30" xfId="0" applyNumberFormat="1" applyFont="1" applyFill="1" applyBorder="1" applyAlignment="1" applyProtection="1">
      <alignment horizontal="left" vertical="center"/>
      <protection locked="0"/>
    </xf>
    <xf numFmtId="41" fontId="21" fillId="0" borderId="24" xfId="0" applyNumberFormat="1" applyFont="1" applyFill="1" applyBorder="1" applyAlignment="1" applyProtection="1">
      <alignment horizontal="left" vertical="center"/>
      <protection locked="0"/>
    </xf>
    <xf numFmtId="41" fontId="21" fillId="0" borderId="48" xfId="0" applyNumberFormat="1" applyFont="1" applyFill="1" applyBorder="1" applyAlignment="1">
      <alignment horizontal="left" vertical="center"/>
    </xf>
    <xf numFmtId="41" fontId="21" fillId="0" borderId="49" xfId="0" applyNumberFormat="1" applyFont="1" applyFill="1" applyBorder="1" applyAlignment="1">
      <alignment horizontal="left" vertical="center"/>
    </xf>
    <xf numFmtId="41" fontId="21" fillId="0" borderId="50" xfId="0" applyNumberFormat="1" applyFont="1" applyFill="1" applyBorder="1" applyAlignment="1">
      <alignment horizontal="left" vertical="center"/>
    </xf>
    <xf numFmtId="41" fontId="48" fillId="0" borderId="0" xfId="0" applyNumberFormat="1" applyFont="1" applyFill="1" applyBorder="1" applyAlignment="1">
      <alignment horizontal="left" vertical="center"/>
    </xf>
    <xf numFmtId="41" fontId="43" fillId="0" borderId="27" xfId="0" applyNumberFormat="1" applyFont="1" applyFill="1" applyBorder="1" applyAlignment="1">
      <alignment horizontal="left" vertical="center"/>
    </xf>
    <xf numFmtId="41" fontId="43" fillId="0" borderId="0" xfId="0" applyNumberFormat="1" applyFont="1" applyFill="1" applyBorder="1" applyAlignment="1">
      <alignment horizontal="left" vertical="center"/>
    </xf>
    <xf numFmtId="41" fontId="43" fillId="0" borderId="37" xfId="0" applyNumberFormat="1" applyFont="1" applyFill="1" applyBorder="1" applyAlignment="1">
      <alignment horizontal="left" vertical="center"/>
    </xf>
    <xf numFmtId="41" fontId="43" fillId="0" borderId="38" xfId="0" applyNumberFormat="1" applyFont="1" applyFill="1" applyBorder="1" applyAlignment="1">
      <alignment horizontal="left" vertical="center"/>
    </xf>
    <xf numFmtId="41" fontId="43" fillId="0" borderId="39" xfId="0" applyNumberFormat="1" applyFont="1" applyFill="1" applyBorder="1" applyAlignment="1">
      <alignment horizontal="left" vertical="center"/>
    </xf>
    <xf numFmtId="41" fontId="47" fillId="0" borderId="27" xfId="0" applyNumberFormat="1" applyFont="1" applyFill="1" applyBorder="1" applyAlignment="1">
      <alignment horizontal="left" vertical="center"/>
    </xf>
    <xf numFmtId="41" fontId="47" fillId="0" borderId="0" xfId="0" applyNumberFormat="1" applyFont="1" applyFill="1" applyBorder="1" applyAlignment="1">
      <alignment horizontal="left" vertical="center"/>
    </xf>
    <xf numFmtId="41" fontId="43" fillId="7" borderId="0" xfId="0" applyNumberFormat="1" applyFont="1" applyFill="1" applyBorder="1" applyAlignment="1">
      <alignment horizontal="left" vertical="center"/>
    </xf>
    <xf numFmtId="41" fontId="21" fillId="0" borderId="4" xfId="0" applyNumberFormat="1" applyFont="1" applyFill="1" applyBorder="1" applyAlignment="1">
      <alignment horizontal="left" vertical="center"/>
    </xf>
    <xf numFmtId="41" fontId="21" fillId="0" borderId="5" xfId="0" applyNumberFormat="1" applyFont="1" applyFill="1" applyBorder="1" applyAlignment="1">
      <alignment horizontal="left" vertical="center"/>
    </xf>
    <xf numFmtId="41" fontId="21" fillId="0" borderId="11" xfId="0" applyNumberFormat="1" applyFont="1" applyFill="1" applyBorder="1" applyAlignment="1">
      <alignment horizontal="left" vertical="center"/>
    </xf>
    <xf numFmtId="0" fontId="4" fillId="0" borderId="23" xfId="7" applyFont="1" applyFill="1" applyBorder="1" applyAlignment="1">
      <alignment horizontal="left" vertical="center" wrapText="1"/>
    </xf>
    <xf numFmtId="0" fontId="7" fillId="0" borderId="23" xfId="7" applyFont="1" applyFill="1" applyBorder="1" applyAlignment="1">
      <alignment horizontal="left" vertical="center" wrapText="1"/>
    </xf>
  </cellXfs>
  <cellStyles count="11">
    <cellStyle name="Comma" xfId="8" builtinId="3"/>
    <cellStyle name="Comma 2" xfId="3" xr:uid="{00000000-0005-0000-0000-000001000000}"/>
    <cellStyle name="Currency 2" xfId="5" xr:uid="{00000000-0005-0000-0000-000002000000}"/>
    <cellStyle name="Normal" xfId="0" builtinId="0"/>
    <cellStyle name="Normal 2" xfId="2" xr:uid="{00000000-0005-0000-0000-000004000000}"/>
    <cellStyle name="Normal 2 2" xfId="4" xr:uid="{00000000-0005-0000-0000-000005000000}"/>
    <cellStyle name="Normal 2 3" xfId="9" xr:uid="{00000000-0005-0000-0000-000006000000}"/>
    <cellStyle name="Normal 3" xfId="7" xr:uid="{00000000-0005-0000-0000-000007000000}"/>
    <cellStyle name="Normal 3 2" xfId="10" xr:uid="{00000000-0005-0000-0000-000008000000}"/>
    <cellStyle name="Percent" xfId="1" builtinId="5"/>
    <cellStyle name="Percent 2" xfId="6" xr:uid="{00000000-0005-0000-0000-00000A000000}"/>
  </cellStyles>
  <dxfs count="0"/>
  <tableStyles count="0" defaultTableStyle="TableStyleMedium2" defaultPivotStyle="PivotStyleLight16"/>
  <colors>
    <mruColors>
      <color rgb="FF0033CC"/>
      <color rgb="FF0000FF"/>
      <color rgb="FFCCCCFF"/>
      <color rgb="FFFFCC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7.7376592986117751E-3"/>
                  <c:y val="-1.50127523812173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8E-40B9-9FAA-2898121E4403}"/>
                </c:ext>
              </c:extLst>
            </c:dLbl>
            <c:dLbl>
              <c:idx val="1"/>
              <c:layout>
                <c:manualLayout>
                  <c:x val="4.2506500640908301E-2"/>
                  <c:y val="1.75234762321376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8E-40B9-9FAA-2898121E4403}"/>
                </c:ext>
              </c:extLst>
            </c:dLbl>
            <c:dLbl>
              <c:idx val="2"/>
              <c:layout>
                <c:manualLayout>
                  <c:x val="-4.2093666002593101E-2"/>
                  <c:y val="-1.512478784674884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8E-40B9-9FAA-2898121E4403}"/>
                </c:ext>
              </c:extLst>
            </c:dLbl>
            <c:dLbl>
              <c:idx val="3"/>
              <c:layout>
                <c:manualLayout>
                  <c:x val="7.5245738860955619E-2"/>
                  <c:y val="-2.782337720152476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A8E-40B9-9FAA-2898121E4403}"/>
                </c:ext>
              </c:extLst>
            </c:dLbl>
            <c:dLbl>
              <c:idx val="5"/>
              <c:layout>
                <c:manualLayout>
                  <c:x val="7.3012680643835277E-3"/>
                  <c:y val="-0.120941914062862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A8E-40B9-9FAA-2898121E4403}"/>
                </c:ext>
              </c:extLst>
            </c:dLbl>
            <c:dLbl>
              <c:idx val="6"/>
              <c:layout>
                <c:manualLayout>
                  <c:x val="-5.5732220219460546E-2"/>
                  <c:y val="-2.17797686949908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A8E-40B9-9FAA-2898121E4403}"/>
                </c:ext>
              </c:extLst>
            </c:dLbl>
            <c:dLbl>
              <c:idx val="7"/>
              <c:layout>
                <c:manualLayout>
                  <c:x val="4.7301268064383506E-2"/>
                  <c:y val="-5.637164612373983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A8E-40B9-9FAA-2898121E4403}"/>
                </c:ext>
              </c:extLst>
            </c:dLbl>
            <c:dLbl>
              <c:idx val="8"/>
              <c:layout>
                <c:manualLayout>
                  <c:x val="0.1093302975682257"/>
                  <c:y val="-1.812748671433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A8E-40B9-9FAA-2898121E4403}"/>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'Data Input'!$C$6:$C$14</c:f>
              <c:strCache>
                <c:ptCount val="9"/>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strCache>
            </c:strRef>
          </c:cat>
          <c:val>
            <c:numRef>
              <c:f>'Data Input'!$T$6:$T$14</c:f>
              <c:numCache>
                <c:formatCode>_(* #,##0_);_(* \(#,##0\);_(* "-"_);_(@_)</c:formatCode>
                <c:ptCount val="9"/>
                <c:pt idx="0">
                  <c:v>11967619</c:v>
                </c:pt>
                <c:pt idx="1">
                  <c:v>71716</c:v>
                </c:pt>
                <c:pt idx="2">
                  <c:v>2515416</c:v>
                </c:pt>
                <c:pt idx="3">
                  <c:v>2900479</c:v>
                </c:pt>
                <c:pt idx="4">
                  <c:v>325377</c:v>
                </c:pt>
                <c:pt idx="5">
                  <c:v>9460713</c:v>
                </c:pt>
                <c:pt idx="6">
                  <c:v>35503</c:v>
                </c:pt>
                <c:pt idx="7">
                  <c:v>275114</c:v>
                </c:pt>
                <c:pt idx="8">
                  <c:v>1833826</c:v>
                </c:pt>
              </c:numCache>
            </c:numRef>
          </c:val>
          <c:extLst>
            <c:ext xmlns:c16="http://schemas.microsoft.com/office/drawing/2014/chart" uri="{C3380CC4-5D6E-409C-BE32-E72D297353CC}">
              <c16:uniqueId val="{00000008-0A8E-40B9-9FAA-2898121E4403}"/>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rtl="0">
              <a:defRPr sz="1000" b="0" i="0" u="none" baseline="0">
                <a:solidFill>
                  <a:srgbClr val="000000"/>
                </a:solidFill>
                <a:latin typeface="Arial"/>
                <a:ea typeface="Arial"/>
                <a:cs typeface="Arial"/>
              </a:defRPr>
            </a:pPr>
            <a:endParaRPr lang="en-US"/>
          </a:p>
        </c:txPr>
      </c:legendEntry>
      <c:legendEntry>
        <c:idx val="1"/>
        <c:txPr>
          <a:bodyPr/>
          <a:lstStyle/>
          <a:p>
            <a:pPr rtl="0">
              <a:defRPr sz="1000" b="0" i="0" u="none" baseline="0">
                <a:solidFill>
                  <a:srgbClr val="000000"/>
                </a:solidFill>
                <a:latin typeface="Arial"/>
                <a:ea typeface="Arial"/>
                <a:cs typeface="Arial"/>
              </a:defRPr>
            </a:pPr>
            <a:endParaRPr lang="en-US"/>
          </a:p>
        </c:txPr>
      </c:legendEntry>
      <c:legendEntry>
        <c:idx val="2"/>
        <c:txPr>
          <a:bodyPr/>
          <a:lstStyle/>
          <a:p>
            <a:pPr rtl="0">
              <a:defRPr sz="1000" b="0" i="0" u="none" baseline="0">
                <a:solidFill>
                  <a:srgbClr val="000000"/>
                </a:solidFill>
                <a:latin typeface="Arial"/>
                <a:ea typeface="Arial"/>
                <a:cs typeface="Arial"/>
              </a:defRPr>
            </a:pPr>
            <a:endParaRPr lang="en-US"/>
          </a:p>
        </c:txPr>
      </c:legendEntry>
      <c:legendEntry>
        <c:idx val="3"/>
        <c:txPr>
          <a:bodyPr/>
          <a:lstStyle/>
          <a:p>
            <a:pPr rtl="0">
              <a:defRPr sz="1000" b="0" i="0" u="none" baseline="0">
                <a:solidFill>
                  <a:srgbClr val="000000"/>
                </a:solidFill>
                <a:latin typeface="Arial"/>
                <a:ea typeface="Arial"/>
                <a:cs typeface="Arial"/>
              </a:defRPr>
            </a:pPr>
            <a:endParaRPr lang="en-US"/>
          </a:p>
        </c:txPr>
      </c:legendEntry>
      <c:legendEntry>
        <c:idx val="4"/>
        <c:txPr>
          <a:bodyPr/>
          <a:lstStyle/>
          <a:p>
            <a:pPr rtl="0">
              <a:defRPr sz="1000" b="0" i="0" u="none" baseline="0">
                <a:solidFill>
                  <a:srgbClr val="000000"/>
                </a:solidFill>
                <a:latin typeface="Arial"/>
                <a:ea typeface="Arial"/>
                <a:cs typeface="Arial"/>
              </a:defRPr>
            </a:pPr>
            <a:endParaRPr lang="en-US"/>
          </a:p>
        </c:txPr>
      </c:legendEntry>
      <c:legendEntry>
        <c:idx val="5"/>
        <c:txPr>
          <a:bodyPr/>
          <a:lstStyle/>
          <a:p>
            <a:pPr rtl="0">
              <a:defRPr sz="1000" b="0" i="0" u="none" baseline="0">
                <a:solidFill>
                  <a:srgbClr val="000000"/>
                </a:solidFill>
                <a:latin typeface="Arial"/>
                <a:ea typeface="Arial"/>
                <a:cs typeface="Arial"/>
              </a:defRPr>
            </a:pPr>
            <a:endParaRPr lang="en-US"/>
          </a:p>
        </c:txPr>
      </c:legendEntry>
      <c:legendEntry>
        <c:idx val="6"/>
        <c:txPr>
          <a:bodyPr/>
          <a:lstStyle/>
          <a:p>
            <a:pPr rtl="0">
              <a:defRPr sz="1000" b="0" i="0" u="none" baseline="0">
                <a:solidFill>
                  <a:srgbClr val="000000"/>
                </a:solidFill>
                <a:latin typeface="Arial"/>
                <a:ea typeface="Arial"/>
                <a:cs typeface="Arial"/>
              </a:defRPr>
            </a:pPr>
            <a:endParaRPr lang="en-US"/>
          </a:p>
        </c:txPr>
      </c:legendEntry>
      <c:legendEntry>
        <c:idx val="7"/>
        <c:txPr>
          <a:bodyPr/>
          <a:lstStyle/>
          <a:p>
            <a:pPr rtl="0">
              <a:defRPr sz="1000" b="0" i="0" u="none" baseline="0">
                <a:solidFill>
                  <a:srgbClr val="000000"/>
                </a:solidFill>
                <a:latin typeface="Arial"/>
                <a:ea typeface="Arial"/>
                <a:cs typeface="Arial"/>
              </a:defRPr>
            </a:pPr>
            <a:endParaRPr lang="en-US"/>
          </a:p>
        </c:txPr>
      </c:legendEntry>
      <c:legendEntry>
        <c:idx val="8"/>
        <c:txPr>
          <a:bodyPr/>
          <a:lstStyle/>
          <a:p>
            <a:pPr rtl="0">
              <a:defRPr sz="1000" b="0" i="0" u="none" baseline="0">
                <a:solidFill>
                  <a:srgbClr val="000000"/>
                </a:solidFill>
                <a:latin typeface="Arial"/>
                <a:ea typeface="Arial"/>
                <a:cs typeface="Arial"/>
              </a:defRPr>
            </a:pPr>
            <a:endParaRPr lang="en-US"/>
          </a:p>
        </c:txPr>
      </c:legendEntry>
      <c:layout>
        <c:manualLayout>
          <c:xMode val="edge"/>
          <c:yMode val="edge"/>
          <c:x val="0.70361528569193066"/>
          <c:y val="2.8268600010697347E-2"/>
          <c:w val="0.28192804255464426"/>
          <c:h val="0.94631748809176597"/>
        </c:manualLayout>
      </c:layout>
      <c:overlay val="0"/>
    </c:legend>
    <c:plotVisOnly val="1"/>
    <c:dispBlanksAs val="zero"/>
    <c:showDLblsOverMax val="0"/>
  </c:chart>
  <c:spPr>
    <a:ln w="12700">
      <a:noFill/>
      <a:prstDash val="solid"/>
    </a:ln>
  </c:spPr>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00000000000036"/>
          <c:y val="0.05"/>
          <c:w val="0.78725000000000001"/>
          <c:h val="0.69750000000000001"/>
        </c:manualLayout>
      </c:layout>
      <c:lineChart>
        <c:grouping val="standard"/>
        <c:varyColors val="0"/>
        <c:ser>
          <c:idx val="0"/>
          <c:order val="0"/>
          <c:tx>
            <c:strRef>
              <c:f>'Data Input'!$C$58</c:f>
              <c:strCache>
                <c:ptCount val="1"/>
                <c:pt idx="0">
                  <c:v> Assets </c:v>
                </c:pt>
              </c:strCache>
            </c:strRef>
          </c:tx>
          <c:marker>
            <c:symbol val="none"/>
          </c:marker>
          <c:cat>
            <c:numRef>
              <c:f>'Data Input'!$I$56:$T$56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'Data Input'!$I$58:$T$58</c:f>
              <c:numCache>
                <c:formatCode>_(* #,##0_);_(* \(#,##0\);_(* "-"_);_(@_)</c:formatCode>
                <c:ptCount val="12"/>
                <c:pt idx="0">
                  <c:v>715770.12</c:v>
                </c:pt>
                <c:pt idx="1">
                  <c:v>1067702</c:v>
                </c:pt>
                <c:pt idx="2">
                  <c:v>1788994</c:v>
                </c:pt>
                <c:pt idx="3">
                  <c:v>1433150</c:v>
                </c:pt>
                <c:pt idx="4">
                  <c:v>3035696</c:v>
                </c:pt>
                <c:pt idx="5">
                  <c:v>2990339</c:v>
                </c:pt>
                <c:pt idx="6">
                  <c:v>3958578</c:v>
                </c:pt>
                <c:pt idx="7">
                  <c:v>3830578</c:v>
                </c:pt>
                <c:pt idx="8">
                  <c:v>4635185</c:v>
                </c:pt>
                <c:pt idx="9">
                  <c:v>4682865</c:v>
                </c:pt>
                <c:pt idx="10">
                  <c:v>4839421</c:v>
                </c:pt>
                <c:pt idx="11">
                  <c:v>5015032</c:v>
                </c:pt>
              </c:numCache>
            </c:numRef>
          </c:val>
          <c:smooth val="0"/>
          <c:extLst>
            <c:ext xmlns:c16="http://schemas.microsoft.com/office/drawing/2014/chart" uri="{C3380CC4-5D6E-409C-BE32-E72D297353CC}">
              <c16:uniqueId val="{00000000-3814-4642-AF7D-CA85DF834A7D}"/>
            </c:ext>
          </c:extLst>
        </c:ser>
        <c:ser>
          <c:idx val="1"/>
          <c:order val="1"/>
          <c:tx>
            <c:strRef>
              <c:f>'Data Input'!$C$59</c:f>
              <c:strCache>
                <c:ptCount val="1"/>
                <c:pt idx="0">
                  <c:v> Actuarial Liability </c:v>
                </c:pt>
              </c:strCache>
            </c:strRef>
          </c:tx>
          <c:marker>
            <c:symbol val="none"/>
          </c:marker>
          <c:cat>
            <c:numRef>
              <c:f>'Data Input'!$I$56:$T$56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'Data Input'!$I$59:$T$59</c:f>
              <c:numCache>
                <c:formatCode>_(* #,##0_);_(* \(#,##0\);_(* "-"_);_(@_)</c:formatCode>
                <c:ptCount val="12"/>
                <c:pt idx="0">
                  <c:v>5952886</c:v>
                </c:pt>
                <c:pt idx="1">
                  <c:v>9623170</c:v>
                </c:pt>
                <c:pt idx="2">
                  <c:v>10041504</c:v>
                </c:pt>
                <c:pt idx="3">
                  <c:v>10618602</c:v>
                </c:pt>
                <c:pt idx="4">
                  <c:v>11077179</c:v>
                </c:pt>
                <c:pt idx="5">
                  <c:v>13123688</c:v>
                </c:pt>
                <c:pt idx="6">
                  <c:v>13455592</c:v>
                </c:pt>
                <c:pt idx="7">
                  <c:v>5830874</c:v>
                </c:pt>
                <c:pt idx="8">
                  <c:v>5883374</c:v>
                </c:pt>
                <c:pt idx="9">
                  <c:v>5940248</c:v>
                </c:pt>
                <c:pt idx="10">
                  <c:v>4118294</c:v>
                </c:pt>
                <c:pt idx="11">
                  <c:v>4154580</c:v>
                </c:pt>
              </c:numCache>
            </c:numRef>
          </c:val>
          <c:smooth val="0"/>
          <c:extLst>
            <c:ext xmlns:c16="http://schemas.microsoft.com/office/drawing/2014/chart" uri="{C3380CC4-5D6E-409C-BE32-E72D297353CC}">
              <c16:uniqueId val="{00000001-3814-4642-AF7D-CA85DF834A7D}"/>
            </c:ext>
          </c:extLst>
        </c:ser>
        <c:dLbls>
          <c:showLegendKey val="0"/>
          <c:showVal val="0"/>
          <c:showCatName val="0"/>
          <c:showSerName val="0"/>
          <c:showPercent val="0"/>
          <c:showBubbleSize val="0"/>
        </c:dLbls>
        <c:smooth val="0"/>
        <c:axId val="-1974906240"/>
        <c:axId val="-1974905696"/>
      </c:lineChart>
      <c:dateAx>
        <c:axId val="-1974906240"/>
        <c:scaling>
          <c:orientation val="minMax"/>
        </c:scaling>
        <c:delete val="0"/>
        <c:axPos val="b"/>
        <c:numFmt formatCode="General" sourceLinked="0"/>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5696"/>
        <c:crosses val="autoZero"/>
        <c:auto val="1"/>
        <c:lblOffset val="100"/>
        <c:baseTimeUnit val="years"/>
        <c:majorUnit val="1"/>
        <c:majorTimeUnit val="years"/>
        <c:minorUnit val="3"/>
        <c:minorTimeUnit val="days"/>
      </c:dateAx>
      <c:valAx>
        <c:axId val="-1974905696"/>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6240"/>
        <c:crosses val="autoZero"/>
        <c:crossBetween val="between"/>
      </c:valAx>
    </c:plotArea>
    <c:legend>
      <c:legendPos val="r"/>
      <c:layout>
        <c:manualLayout>
          <c:xMode val="edge"/>
          <c:yMode val="edge"/>
          <c:x val="0.15524992709244725"/>
          <c:y val="0.91774984490575062"/>
          <c:w val="0.68518518518518523"/>
          <c:h val="5.8181818181818216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5000000000001"/>
          <c:y val="4.9250000000000023E-2"/>
          <c:w val="0.74925000000000064"/>
          <c:h val="0.76375000000000182"/>
        </c:manualLayout>
      </c:layout>
      <c:lineChart>
        <c:grouping val="standard"/>
        <c:varyColors val="0"/>
        <c:ser>
          <c:idx val="0"/>
          <c:order val="0"/>
          <c:tx>
            <c:strRef>
              <c:f>'Data Input'!$C$52</c:f>
              <c:strCache>
                <c:ptCount val="1"/>
                <c:pt idx="0">
                  <c:v> Assets </c:v>
                </c:pt>
              </c:strCache>
            </c:strRef>
          </c:tx>
          <c:marker>
            <c:symbol val="none"/>
          </c:marker>
          <c:cat>
            <c:numRef>
              <c:f>'Data Input'!$J$56:$T$56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'Data Input'!$J$52:$T$52</c:f>
              <c:numCache>
                <c:formatCode>_(* #,##0_);_(* \(#,##0\);_(* "-"_);_(@_)</c:formatCode>
                <c:ptCount val="11"/>
                <c:pt idx="0">
                  <c:v>18965509</c:v>
                </c:pt>
                <c:pt idx="1">
                  <c:v>19331637</c:v>
                </c:pt>
                <c:pt idx="2">
                  <c:v>19811966</c:v>
                </c:pt>
                <c:pt idx="3">
                  <c:v>20481876</c:v>
                </c:pt>
                <c:pt idx="4">
                  <c:v>21134404</c:v>
                </c:pt>
                <c:pt idx="5">
                  <c:v>21467108</c:v>
                </c:pt>
                <c:pt idx="6">
                  <c:v>21625167</c:v>
                </c:pt>
                <c:pt idx="7">
                  <c:v>21792743</c:v>
                </c:pt>
                <c:pt idx="8">
                  <c:v>21817232</c:v>
                </c:pt>
                <c:pt idx="9">
                  <c:v>21859272</c:v>
                </c:pt>
                <c:pt idx="10">
                  <c:v>22665282</c:v>
                </c:pt>
              </c:numCache>
            </c:numRef>
          </c:val>
          <c:smooth val="0"/>
          <c:extLst>
            <c:ext xmlns:c16="http://schemas.microsoft.com/office/drawing/2014/chart" uri="{C3380CC4-5D6E-409C-BE32-E72D297353CC}">
              <c16:uniqueId val="{00000000-99C1-45D1-ACA8-49E4B41F8C8E}"/>
            </c:ext>
          </c:extLst>
        </c:ser>
        <c:ser>
          <c:idx val="1"/>
          <c:order val="1"/>
          <c:tx>
            <c:strRef>
              <c:f>'Data Input'!$C$53</c:f>
              <c:strCache>
                <c:ptCount val="1"/>
                <c:pt idx="0">
                  <c:v> Actuarial Liability </c:v>
                </c:pt>
              </c:strCache>
            </c:strRef>
          </c:tx>
          <c:marker>
            <c:symbol val="none"/>
          </c:marker>
          <c:cat>
            <c:numRef>
              <c:f>'Data Input'!$J$56:$T$56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'Data Input'!$J$53:$T$53</c:f>
              <c:numCache>
                <c:formatCode>_(* #,##0_);_(* \(#,##0\);_(* "-"_);_(@_)</c:formatCode>
                <c:ptCount val="11"/>
                <c:pt idx="0">
                  <c:v>22385298</c:v>
                </c:pt>
                <c:pt idx="1">
                  <c:v>23803330</c:v>
                </c:pt>
                <c:pt idx="2">
                  <c:v>24344199</c:v>
                </c:pt>
                <c:pt idx="3">
                  <c:v>24815637</c:v>
                </c:pt>
                <c:pt idx="4">
                  <c:v>25222220</c:v>
                </c:pt>
                <c:pt idx="5">
                  <c:v>26592373</c:v>
                </c:pt>
                <c:pt idx="6">
                  <c:v>26500057</c:v>
                </c:pt>
                <c:pt idx="7">
                  <c:v>26379537</c:v>
                </c:pt>
                <c:pt idx="8">
                  <c:v>26581970</c:v>
                </c:pt>
                <c:pt idx="9">
                  <c:v>27707069</c:v>
                </c:pt>
                <c:pt idx="10">
                  <c:v>28581989</c:v>
                </c:pt>
              </c:numCache>
            </c:numRef>
          </c:val>
          <c:smooth val="0"/>
          <c:extLst>
            <c:ext xmlns:c16="http://schemas.microsoft.com/office/drawing/2014/chart" uri="{C3380CC4-5D6E-409C-BE32-E72D297353CC}">
              <c16:uniqueId val="{00000001-99C1-45D1-ACA8-49E4B41F8C8E}"/>
            </c:ext>
          </c:extLst>
        </c:ser>
        <c:dLbls>
          <c:showLegendKey val="0"/>
          <c:showVal val="0"/>
          <c:showCatName val="0"/>
          <c:showSerName val="0"/>
          <c:showPercent val="0"/>
          <c:showBubbleSize val="0"/>
        </c:dLbls>
        <c:smooth val="0"/>
        <c:axId val="-1974894272"/>
        <c:axId val="-1974895360"/>
      </c:lineChart>
      <c:dateAx>
        <c:axId val="-1974894272"/>
        <c:scaling>
          <c:orientation val="minMax"/>
        </c:scaling>
        <c:delete val="0"/>
        <c:axPos val="b"/>
        <c:numFmt formatCode="General" sourceLinked="0"/>
        <c:majorTickMark val="out"/>
        <c:minorTickMark val="none"/>
        <c:tickLblPos val="nextTo"/>
        <c:txPr>
          <a:bodyPr/>
          <a:lstStyle/>
          <a:p>
            <a:pPr>
              <a:defRPr sz="950" b="0" i="0" u="none" baseline="0">
                <a:solidFill>
                  <a:srgbClr val="000000"/>
                </a:solidFill>
                <a:latin typeface="Calibri"/>
                <a:ea typeface="Calibri"/>
                <a:cs typeface="Calibri"/>
              </a:defRPr>
            </a:pPr>
            <a:endParaRPr lang="en-US"/>
          </a:p>
        </c:txPr>
        <c:crossAx val="-1974895360"/>
        <c:crosses val="autoZero"/>
        <c:auto val="1"/>
        <c:lblOffset val="100"/>
        <c:baseTimeUnit val="years"/>
        <c:majorUnit val="1"/>
        <c:majorTimeUnit val="years"/>
        <c:minorUnit val="80"/>
        <c:minorTimeUnit val="days"/>
      </c:dateAx>
      <c:valAx>
        <c:axId val="-1974895360"/>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4272"/>
        <c:crosses val="autoZero"/>
        <c:crossBetween val="between"/>
      </c:valAx>
    </c:plotArea>
    <c:legend>
      <c:legendPos val="r"/>
      <c:layout>
        <c:manualLayout>
          <c:xMode val="edge"/>
          <c:yMode val="edge"/>
          <c:x val="0.15715298601373456"/>
          <c:y val="0.94541180527616531"/>
          <c:w val="0.69041095890410953"/>
          <c:h val="5.3527980535279802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8877525366785"/>
          <c:y val="0.1961657764807371"/>
          <c:w val="0.79094277008477443"/>
          <c:h val="0.68704329790943963"/>
        </c:manualLayout>
      </c:layout>
      <c:barChart>
        <c:barDir val="col"/>
        <c:grouping val="stacked"/>
        <c:varyColors val="0"/>
        <c:ser>
          <c:idx val="0"/>
          <c:order val="0"/>
          <c:tx>
            <c:strRef>
              <c:f>'Data Input'!$B$78:$C$78</c:f>
              <c:strCache>
                <c:ptCount val="2"/>
                <c:pt idx="0">
                  <c:v> Other Claims &amp; Contingencies </c:v>
                </c:pt>
                <c:pt idx="1">
                  <c:v> Total Long Term Debt (excl. pension &amp; RHC) </c:v>
                </c:pt>
              </c:strCache>
            </c:strRef>
          </c:tx>
          <c:invertIfNegative val="0"/>
          <c:cat>
            <c:numRef>
              <c:f>'Data Input'!$J$3:$T$3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 Input'!$J$78:$T$78</c:f>
              <c:numCache>
                <c:formatCode>_(* #,##0_);_(* \(#,##0\);_(* "-"_);_(@_)</c:formatCode>
                <c:ptCount val="11"/>
                <c:pt idx="0">
                  <c:v>16776149</c:v>
                </c:pt>
                <c:pt idx="1">
                  <c:v>15897579</c:v>
                </c:pt>
                <c:pt idx="2">
                  <c:v>15163552</c:v>
                </c:pt>
                <c:pt idx="3">
                  <c:v>14362642</c:v>
                </c:pt>
                <c:pt idx="4">
                  <c:v>13201843</c:v>
                </c:pt>
                <c:pt idx="5">
                  <c:v>12067627</c:v>
                </c:pt>
                <c:pt idx="6">
                  <c:v>11140933</c:v>
                </c:pt>
                <c:pt idx="7">
                  <c:v>10102151</c:v>
                </c:pt>
                <c:pt idx="8">
                  <c:v>9091528</c:v>
                </c:pt>
                <c:pt idx="9">
                  <c:v>8007710</c:v>
                </c:pt>
                <c:pt idx="10">
                  <c:v>6967798</c:v>
                </c:pt>
              </c:numCache>
            </c:numRef>
          </c:val>
          <c:extLst>
            <c:ext xmlns:c16="http://schemas.microsoft.com/office/drawing/2014/chart" uri="{C3380CC4-5D6E-409C-BE32-E72D297353CC}">
              <c16:uniqueId val="{00000000-0B9D-44D5-A87D-3E3CCF8B5F6B}"/>
            </c:ext>
          </c:extLst>
        </c:ser>
        <c:ser>
          <c:idx val="2"/>
          <c:order val="1"/>
          <c:tx>
            <c:strRef>
              <c:f>'Data Input'!$B$75:$C$75</c:f>
              <c:strCache>
                <c:ptCount val="2"/>
                <c:pt idx="0">
                  <c:v> Landfill Closure &amp; Postclosure Care </c:v>
                </c:pt>
              </c:strCache>
            </c:strRef>
          </c:tx>
          <c:invertIfNegative val="0"/>
          <c:cat>
            <c:numRef>
              <c:f>'Data Input'!$J$3:$T$3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 Input'!$D$75:$L$75</c:f>
              <c:numCache>
                <c:formatCode>_(* #,##0_);_(* \(#,##0\);_(* "-"_);_(@_)</c:formatCode>
                <c:ptCount val="9"/>
              </c:numCache>
            </c:numRef>
          </c:val>
          <c:extLst>
            <c:ext xmlns:c16="http://schemas.microsoft.com/office/drawing/2014/chart" uri="{C3380CC4-5D6E-409C-BE32-E72D297353CC}">
              <c16:uniqueId val="{00000001-0B9D-44D5-A87D-3E3CCF8B5F6B}"/>
            </c:ext>
          </c:extLst>
        </c:ser>
        <c:ser>
          <c:idx val="3"/>
          <c:order val="2"/>
          <c:tx>
            <c:strRef>
              <c:f>'Data Input'!$B$76:$C$76</c:f>
              <c:strCache>
                <c:ptCount val="2"/>
                <c:pt idx="0">
                  <c:v> Uninsured Losses </c:v>
                </c:pt>
              </c:strCache>
            </c:strRef>
          </c:tx>
          <c:invertIfNegative val="0"/>
          <c:cat>
            <c:numRef>
              <c:f>'Data Input'!$J$3:$T$3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 Input'!$D$76:$L$76</c:f>
              <c:numCache>
                <c:formatCode>_(* #,##0_);_(* \(#,##0\);_(* "-"_);_(@_)</c:formatCode>
                <c:ptCount val="9"/>
              </c:numCache>
            </c:numRef>
          </c:val>
          <c:extLst>
            <c:ext xmlns:c16="http://schemas.microsoft.com/office/drawing/2014/chart" uri="{C3380CC4-5D6E-409C-BE32-E72D297353CC}">
              <c16:uniqueId val="{00000002-0B9D-44D5-A87D-3E3CCF8B5F6B}"/>
            </c:ext>
          </c:extLst>
        </c:ser>
        <c:ser>
          <c:idx val="4"/>
          <c:order val="3"/>
          <c:tx>
            <c:strRef>
              <c:f>'Data Input'!$B$77:$C$77</c:f>
              <c:strCache>
                <c:ptCount val="2"/>
                <c:pt idx="0">
                  <c:v> Other Claims &amp; Contingencies </c:v>
                </c:pt>
              </c:strCache>
            </c:strRef>
          </c:tx>
          <c:invertIfNegative val="0"/>
          <c:cat>
            <c:numRef>
              <c:f>'Data Input'!$J$3:$T$3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 Input'!$D$77:$L$77</c:f>
              <c:numCache>
                <c:formatCode>_(* #,##0_);_(* \(#,##0\);_(* "-"_);_(@_)</c:formatCode>
                <c:ptCount val="9"/>
              </c:numCache>
            </c:numRef>
          </c:val>
          <c:extLst>
            <c:ext xmlns:c16="http://schemas.microsoft.com/office/drawing/2014/chart" uri="{C3380CC4-5D6E-409C-BE32-E72D297353CC}">
              <c16:uniqueId val="{00000003-0B9D-44D5-A87D-3E3CCF8B5F6B}"/>
            </c:ext>
          </c:extLst>
        </c:ser>
        <c:dLbls>
          <c:showLegendKey val="0"/>
          <c:showVal val="0"/>
          <c:showCatName val="0"/>
          <c:showSerName val="0"/>
          <c:showPercent val="0"/>
          <c:showBubbleSize val="0"/>
        </c:dLbls>
        <c:gapWidth val="150"/>
        <c:overlap val="100"/>
        <c:axId val="-1974905152"/>
        <c:axId val="-1974904064"/>
      </c:barChart>
      <c:catAx>
        <c:axId val="-1974905152"/>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4064"/>
        <c:crosses val="autoZero"/>
        <c:auto val="1"/>
        <c:lblAlgn val="ctr"/>
        <c:lblOffset val="100"/>
        <c:tickLblSkip val="1"/>
        <c:tickMarkSkip val="1"/>
        <c:noMultiLvlLbl val="1"/>
      </c:catAx>
      <c:valAx>
        <c:axId val="-1974904064"/>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5152"/>
        <c:crosses val="autoZero"/>
        <c:crossBetween val="between"/>
      </c:valAx>
    </c:plotArea>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87645858472314E-2"/>
          <c:y val="7.6134844846521832E-2"/>
          <c:w val="0.88339535148180204"/>
          <c:h val="0.82905828260829151"/>
        </c:manualLayout>
      </c:layout>
      <c:barChart>
        <c:barDir val="col"/>
        <c:grouping val="stacked"/>
        <c:varyColors val="0"/>
        <c:ser>
          <c:idx val="0"/>
          <c:order val="0"/>
          <c:tx>
            <c:strRef>
              <c:f>'Data Input'!$B$78</c:f>
              <c:strCache>
                <c:ptCount val="1"/>
              </c:strCache>
            </c:strRef>
          </c:tx>
          <c:invertIfNegative val="0"/>
          <c:cat>
            <c:numRef>
              <c:f>'Data Input'!$S$3:$T$3</c:f>
              <c:numCache>
                <c:formatCode>General</c:formatCode>
                <c:ptCount val="2"/>
                <c:pt idx="0">
                  <c:v>2019</c:v>
                </c:pt>
                <c:pt idx="1">
                  <c:v>2020</c:v>
                </c:pt>
              </c:numCache>
            </c:numRef>
          </c:cat>
          <c:val>
            <c:numRef>
              <c:f>'Data Input'!$U$78:$V$78</c:f>
              <c:numCache>
                <c:formatCode>_(* #,##0_);_(* \(#,##0\);_(* "-"_);_(@_)</c:formatCode>
                <c:ptCount val="2"/>
                <c:pt idx="0">
                  <c:v>163.78</c:v>
                </c:pt>
                <c:pt idx="1">
                  <c:v>141.44</c:v>
                </c:pt>
              </c:numCache>
            </c:numRef>
          </c:val>
          <c:extLst>
            <c:ext xmlns:c16="http://schemas.microsoft.com/office/drawing/2014/chart" uri="{C3380CC4-5D6E-409C-BE32-E72D297353CC}">
              <c16:uniqueId val="{00000000-7C15-44DB-B5E2-EEFA72132B12}"/>
            </c:ext>
          </c:extLst>
        </c:ser>
        <c:ser>
          <c:idx val="2"/>
          <c:order val="1"/>
          <c:tx>
            <c:strRef>
              <c:f>'Data Input'!$B$75</c:f>
              <c:strCache>
                <c:ptCount val="1"/>
                <c:pt idx="0">
                  <c:v> Landfill Closure &amp; Postclosure Care </c:v>
                </c:pt>
              </c:strCache>
            </c:strRef>
          </c:tx>
          <c:invertIfNegative val="0"/>
          <c:cat>
            <c:numRef>
              <c:f>'Data Input'!$S$3:$T$3</c:f>
              <c:numCache>
                <c:formatCode>General</c:formatCode>
                <c:ptCount val="2"/>
                <c:pt idx="0">
                  <c:v>2019</c:v>
                </c:pt>
                <c:pt idx="1">
                  <c:v>2020</c:v>
                </c:pt>
              </c:numCache>
            </c:numRef>
          </c:cat>
          <c:val>
            <c:numRef>
              <c:f>'Data Input'!$V$75</c:f>
              <c:numCache>
                <c:formatCode>_(* #,##0_);_(* \(#,##0\);_(* "-"_);_(@_)</c:formatCode>
                <c:ptCount val="1"/>
              </c:numCache>
            </c:numRef>
          </c:val>
          <c:extLst>
            <c:ext xmlns:c16="http://schemas.microsoft.com/office/drawing/2014/chart" uri="{C3380CC4-5D6E-409C-BE32-E72D297353CC}">
              <c16:uniqueId val="{00000001-7C15-44DB-B5E2-EEFA72132B12}"/>
            </c:ext>
          </c:extLst>
        </c:ser>
        <c:ser>
          <c:idx val="3"/>
          <c:order val="2"/>
          <c:tx>
            <c:strRef>
              <c:f>'Data Input'!$B$76</c:f>
              <c:strCache>
                <c:ptCount val="1"/>
                <c:pt idx="0">
                  <c:v> Uninsured Losses </c:v>
                </c:pt>
              </c:strCache>
            </c:strRef>
          </c:tx>
          <c:invertIfNegative val="0"/>
          <c:cat>
            <c:numRef>
              <c:f>'Data Input'!$S$3:$T$3</c:f>
              <c:numCache>
                <c:formatCode>General</c:formatCode>
                <c:ptCount val="2"/>
                <c:pt idx="0">
                  <c:v>2019</c:v>
                </c:pt>
                <c:pt idx="1">
                  <c:v>2020</c:v>
                </c:pt>
              </c:numCache>
            </c:numRef>
          </c:cat>
          <c:val>
            <c:numRef>
              <c:f>'Data Input'!$V$76</c:f>
              <c:numCache>
                <c:formatCode>_(* #,##0_);_(* \(#,##0\);_(* "-"_);_(@_)</c:formatCode>
                <c:ptCount val="1"/>
              </c:numCache>
            </c:numRef>
          </c:val>
          <c:extLst>
            <c:ext xmlns:c16="http://schemas.microsoft.com/office/drawing/2014/chart" uri="{C3380CC4-5D6E-409C-BE32-E72D297353CC}">
              <c16:uniqueId val="{00000002-7C15-44DB-B5E2-EEFA72132B12}"/>
            </c:ext>
          </c:extLst>
        </c:ser>
        <c:ser>
          <c:idx val="4"/>
          <c:order val="3"/>
          <c:tx>
            <c:strRef>
              <c:f>'Data Input'!$B$77</c:f>
              <c:strCache>
                <c:ptCount val="1"/>
                <c:pt idx="0">
                  <c:v> Other Claims &amp; Contingencies </c:v>
                </c:pt>
              </c:strCache>
            </c:strRef>
          </c:tx>
          <c:invertIfNegative val="0"/>
          <c:cat>
            <c:numRef>
              <c:f>'Data Input'!$S$3:$T$3</c:f>
              <c:numCache>
                <c:formatCode>General</c:formatCode>
                <c:ptCount val="2"/>
                <c:pt idx="0">
                  <c:v>2019</c:v>
                </c:pt>
                <c:pt idx="1">
                  <c:v>2020</c:v>
                </c:pt>
              </c:numCache>
            </c:numRef>
          </c:cat>
          <c:val>
            <c:numRef>
              <c:f>'Data Input'!$V$77</c:f>
              <c:numCache>
                <c:formatCode>_(* #,##0_);_(* \(#,##0\);_(* "-"_);_(@_)</c:formatCode>
                <c:ptCount val="1"/>
              </c:numCache>
            </c:numRef>
          </c:val>
          <c:extLst>
            <c:ext xmlns:c16="http://schemas.microsoft.com/office/drawing/2014/chart" uri="{C3380CC4-5D6E-409C-BE32-E72D297353CC}">
              <c16:uniqueId val="{00000003-7C15-44DB-B5E2-EEFA72132B12}"/>
            </c:ext>
          </c:extLst>
        </c:ser>
        <c:dLbls>
          <c:showLegendKey val="0"/>
          <c:showVal val="0"/>
          <c:showCatName val="0"/>
          <c:showSerName val="0"/>
          <c:showPercent val="0"/>
          <c:showBubbleSize val="0"/>
        </c:dLbls>
        <c:gapWidth val="150"/>
        <c:overlap val="100"/>
        <c:axId val="-1974899168"/>
        <c:axId val="-1974904608"/>
      </c:barChart>
      <c:catAx>
        <c:axId val="-1974899168"/>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4608"/>
        <c:crosses val="autoZero"/>
        <c:auto val="1"/>
        <c:lblAlgn val="ctr"/>
        <c:lblOffset val="100"/>
        <c:tickLblSkip val="1"/>
        <c:tickMarkSkip val="1"/>
        <c:noMultiLvlLbl val="1"/>
      </c:catAx>
      <c:valAx>
        <c:axId val="-1974904608"/>
        <c:scaling>
          <c:orientation val="minMax"/>
          <c:min val="0"/>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9168"/>
        <c:crosses val="autoZero"/>
        <c:crossBetween val="between"/>
      </c:valAx>
    </c:plotArea>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00000000000024"/>
          <c:y val="4.9500000000000023E-2"/>
          <c:w val="0.80475000000000063"/>
          <c:h val="0.58724999999999949"/>
        </c:manualLayout>
      </c:layout>
      <c:barChart>
        <c:barDir val="col"/>
        <c:grouping val="clustered"/>
        <c:varyColors val="0"/>
        <c:ser>
          <c:idx val="0"/>
          <c:order val="0"/>
          <c:tx>
            <c:strRef>
              <c:f>'Data Input'!$S$51</c:f>
              <c:strCache>
                <c:ptCount val="1"/>
                <c:pt idx="0">
                  <c:v>12/31/2019</c:v>
                </c:pt>
              </c:strCache>
            </c:strRef>
          </c:tx>
          <c:spPr>
            <a:solidFill>
              <a:schemeClr val="accent1"/>
            </a:solidFill>
            <a:ln>
              <a:noFill/>
            </a:ln>
            <a:effectLst/>
          </c:spPr>
          <c:invertIfNegative val="0"/>
          <c:cat>
            <c:strRef>
              <c:f>('Data Input'!$B$50,'Data Input'!$B$56,'Data Input'!$B$62)</c:f>
              <c:strCache>
                <c:ptCount val="3"/>
                <c:pt idx="0">
                  <c:v> Pensions </c:v>
                </c:pt>
                <c:pt idx="1">
                  <c:v> OPEB </c:v>
                </c:pt>
                <c:pt idx="2">
                  <c:v> Sum of All Pension &amp; OPEB Plans </c:v>
                </c:pt>
              </c:strCache>
            </c:strRef>
          </c:cat>
          <c:val>
            <c:numRef>
              <c:f>'Data Input'!$S$55</c:f>
              <c:numCache>
                <c:formatCode>0.0%</c:formatCode>
                <c:ptCount val="1"/>
                <c:pt idx="0">
                  <c:v>0.78900000000000003</c:v>
                </c:pt>
              </c:numCache>
            </c:numRef>
          </c:val>
          <c:extLst>
            <c:ext xmlns:c16="http://schemas.microsoft.com/office/drawing/2014/chart" uri="{C3380CC4-5D6E-409C-BE32-E72D297353CC}">
              <c16:uniqueId val="{00000000-0230-489E-8A5B-C68FA4028A10}"/>
            </c:ext>
          </c:extLst>
        </c:ser>
        <c:ser>
          <c:idx val="1"/>
          <c:order val="1"/>
          <c:tx>
            <c:strRef>
              <c:f>'Data Input'!$T$51</c:f>
              <c:strCache>
                <c:ptCount val="1"/>
                <c:pt idx="0">
                  <c:v>12/31/2020</c:v>
                </c:pt>
              </c:strCache>
            </c:strRef>
          </c:tx>
          <c:spPr>
            <a:solidFill>
              <a:schemeClr val="accent2"/>
            </a:solidFill>
            <a:ln>
              <a:noFill/>
            </a:ln>
            <a:effectLst/>
          </c:spPr>
          <c:invertIfNegative val="0"/>
          <c:cat>
            <c:strRef>
              <c:f>('Data Input'!$B$50,'Data Input'!$B$56,'Data Input'!$B$62)</c:f>
              <c:strCache>
                <c:ptCount val="3"/>
                <c:pt idx="0">
                  <c:v> Pensions </c:v>
                </c:pt>
                <c:pt idx="1">
                  <c:v> OPEB </c:v>
                </c:pt>
                <c:pt idx="2">
                  <c:v> Sum of All Pension &amp; OPEB Plans </c:v>
                </c:pt>
              </c:strCache>
            </c:strRef>
          </c:cat>
          <c:val>
            <c:numRef>
              <c:f>'Data Input'!$T$55</c:f>
              <c:numCache>
                <c:formatCode>0.0%</c:formatCode>
                <c:ptCount val="1"/>
                <c:pt idx="0">
                  <c:v>0.79</c:v>
                </c:pt>
              </c:numCache>
            </c:numRef>
          </c:val>
          <c:extLst>
            <c:ext xmlns:c16="http://schemas.microsoft.com/office/drawing/2014/chart" uri="{C3380CC4-5D6E-409C-BE32-E72D297353CC}">
              <c16:uniqueId val="{00000001-0230-489E-8A5B-C68FA4028A10}"/>
            </c:ext>
          </c:extLst>
        </c:ser>
        <c:dLbls>
          <c:showLegendKey val="0"/>
          <c:showVal val="0"/>
          <c:showCatName val="0"/>
          <c:showSerName val="0"/>
          <c:showPercent val="0"/>
          <c:showBubbleSize val="0"/>
        </c:dLbls>
        <c:gapWidth val="219"/>
        <c:overlap val="-27"/>
        <c:axId val="-1974902976"/>
        <c:axId val="-1974902432"/>
      </c:barChart>
      <c:catAx>
        <c:axId val="-19749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4902432"/>
        <c:crosses val="autoZero"/>
        <c:auto val="1"/>
        <c:lblAlgn val="ctr"/>
        <c:lblOffset val="100"/>
        <c:tickLblSkip val="1"/>
        <c:tickMarkSkip val="1"/>
        <c:noMultiLvlLbl val="1"/>
      </c:catAx>
      <c:valAx>
        <c:axId val="-1974902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4902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5000000000001"/>
          <c:y val="6.450000000000003E-2"/>
          <c:w val="0.74825000000000064"/>
          <c:h val="0.43325000000000002"/>
        </c:manualLayout>
      </c:layout>
      <c:barChart>
        <c:barDir val="col"/>
        <c:grouping val="clustered"/>
        <c:varyColors val="0"/>
        <c:ser>
          <c:idx val="1"/>
          <c:order val="0"/>
          <c:tx>
            <c:strRef>
              <c:f>'Data Input'!$U$3</c:f>
              <c:strCache>
                <c:ptCount val="1"/>
                <c:pt idx="0">
                  <c:v>2019</c:v>
                </c:pt>
              </c:strCache>
            </c:strRef>
          </c:tx>
          <c:invertIfNegative val="0"/>
          <c:cat>
            <c:strRef>
              <c:f>'Data Input'!$C$6:$C$14</c:f>
              <c:strCache>
                <c:ptCount val="9"/>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strCache>
            </c:strRef>
          </c:cat>
          <c:val>
            <c:numRef>
              <c:f>'Data Input'!$U$6:$U$14</c:f>
              <c:numCache>
                <c:formatCode>_(* #,##0_);_(* \(#,##0\);_(* "-"_);_(@_)</c:formatCode>
                <c:ptCount val="9"/>
                <c:pt idx="0">
                  <c:v>236.28</c:v>
                </c:pt>
                <c:pt idx="1">
                  <c:v>1.37</c:v>
                </c:pt>
                <c:pt idx="2">
                  <c:v>24.98</c:v>
                </c:pt>
                <c:pt idx="3">
                  <c:v>68.989999999999995</c:v>
                </c:pt>
                <c:pt idx="4">
                  <c:v>6.75</c:v>
                </c:pt>
                <c:pt idx="5">
                  <c:v>180.58</c:v>
                </c:pt>
                <c:pt idx="6">
                  <c:v>0.81</c:v>
                </c:pt>
                <c:pt idx="7">
                  <c:v>7.95</c:v>
                </c:pt>
                <c:pt idx="8">
                  <c:v>23.66</c:v>
                </c:pt>
              </c:numCache>
            </c:numRef>
          </c:val>
          <c:extLst>
            <c:ext xmlns:c16="http://schemas.microsoft.com/office/drawing/2014/chart" uri="{C3380CC4-5D6E-409C-BE32-E72D297353CC}">
              <c16:uniqueId val="{00000000-B2F1-43A7-B191-50AFF39E1EE4}"/>
            </c:ext>
          </c:extLst>
        </c:ser>
        <c:ser>
          <c:idx val="0"/>
          <c:order val="1"/>
          <c:tx>
            <c:strRef>
              <c:f>'Data Input'!$V$3</c:f>
              <c:strCache>
                <c:ptCount val="1"/>
                <c:pt idx="0">
                  <c:v>2020</c:v>
                </c:pt>
              </c:strCache>
            </c:strRef>
          </c:tx>
          <c:invertIfNegative val="0"/>
          <c:cat>
            <c:strRef>
              <c:f>'Data Input'!$C$6:$C$14</c:f>
              <c:strCache>
                <c:ptCount val="9"/>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strCache>
            </c:strRef>
          </c:cat>
          <c:val>
            <c:numRef>
              <c:f>'Data Input'!$V$6:$V$14</c:f>
              <c:numCache>
                <c:formatCode>_(* #,##0_);_(* \(#,##0\);_(* "-"_);_(@_)</c:formatCode>
                <c:ptCount val="9"/>
                <c:pt idx="0">
                  <c:v>242.94</c:v>
                </c:pt>
                <c:pt idx="1">
                  <c:v>1.46</c:v>
                </c:pt>
                <c:pt idx="2">
                  <c:v>51.06</c:v>
                </c:pt>
                <c:pt idx="3">
                  <c:v>58.88</c:v>
                </c:pt>
                <c:pt idx="4">
                  <c:v>6.61</c:v>
                </c:pt>
                <c:pt idx="5">
                  <c:v>192.05</c:v>
                </c:pt>
                <c:pt idx="6">
                  <c:v>0.72</c:v>
                </c:pt>
                <c:pt idx="7">
                  <c:v>5.58</c:v>
                </c:pt>
                <c:pt idx="8">
                  <c:v>37.229999999999997</c:v>
                </c:pt>
              </c:numCache>
            </c:numRef>
          </c:val>
          <c:extLst>
            <c:ext xmlns:c16="http://schemas.microsoft.com/office/drawing/2014/chart" uri="{C3380CC4-5D6E-409C-BE32-E72D297353CC}">
              <c16:uniqueId val="{00000001-B2F1-43A7-B191-50AFF39E1EE4}"/>
            </c:ext>
          </c:extLst>
        </c:ser>
        <c:dLbls>
          <c:showLegendKey val="0"/>
          <c:showVal val="0"/>
          <c:showCatName val="0"/>
          <c:showSerName val="0"/>
          <c:showPercent val="0"/>
          <c:showBubbleSize val="0"/>
        </c:dLbls>
        <c:gapWidth val="150"/>
        <c:axId val="-1974900256"/>
        <c:axId val="-1974908416"/>
      </c:barChart>
      <c:catAx>
        <c:axId val="-1974900256"/>
        <c:scaling>
          <c:orientation val="minMax"/>
        </c:scaling>
        <c:delete val="0"/>
        <c:axPos val="b"/>
        <c:numFmt formatCode="General" sourceLinked="1"/>
        <c:majorTickMark val="out"/>
        <c:minorTickMark val="none"/>
        <c:tickLblPos val="nextTo"/>
        <c:crossAx val="-1974908416"/>
        <c:crosses val="autoZero"/>
        <c:auto val="1"/>
        <c:lblAlgn val="ctr"/>
        <c:lblOffset val="100"/>
        <c:tickLblSkip val="1"/>
        <c:tickMarkSkip val="1"/>
        <c:noMultiLvlLbl val="1"/>
      </c:catAx>
      <c:valAx>
        <c:axId val="-1974908416"/>
        <c:scaling>
          <c:orientation val="minMax"/>
        </c:scaling>
        <c:delete val="0"/>
        <c:axPos val="l"/>
        <c:majorGridlines/>
        <c:title>
          <c:tx>
            <c:rich>
              <a:bodyPr/>
              <a:lstStyle/>
              <a:p>
                <a:r>
                  <a:rPr lang="en-US" sz="1050"/>
                  <a:t>Amount </a:t>
                </a:r>
              </a:p>
            </c:rich>
          </c:tx>
          <c:layout>
            <c:manualLayout>
              <c:xMode val="edge"/>
              <c:yMode val="edge"/>
              <c:x val="2.0920909476479375E-2"/>
              <c:y val="0.17332840106396097"/>
            </c:manualLayout>
          </c:layout>
          <c:overlay val="0"/>
        </c:title>
        <c:numFmt formatCode="_(* #,##0_);_(* \(#,##0\);_(* &quot;-&quot;_);_(@_)" sourceLinked="1"/>
        <c:majorTickMark val="out"/>
        <c:minorTickMark val="none"/>
        <c:tickLblPos val="nextTo"/>
        <c:crossAx val="-1974900256"/>
        <c:crosses val="autoZero"/>
        <c:crossBetween val="between"/>
      </c:valAx>
    </c:plotArea>
    <c:legend>
      <c:legendPos val="r"/>
      <c:layout>
        <c:manualLayout>
          <c:xMode val="edge"/>
          <c:yMode val="edge"/>
          <c:x val="0.38834997481556188"/>
          <c:y val="0.9102106517128159"/>
          <c:w val="0.22739316566011769"/>
          <c:h val="8.9789348287183754E-2"/>
        </c:manualLayou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352976917086135"/>
          <c:y val="2.1459227467811239E-2"/>
        </c:manualLayout>
      </c:layout>
      <c:overlay val="0"/>
      <c:spPr>
        <a:noFill/>
        <a:ln w="25400">
          <a:noFill/>
        </a:ln>
      </c:spPr>
    </c:title>
    <c:autoTitleDeleted val="0"/>
    <c:plotArea>
      <c:layout>
        <c:manualLayout>
          <c:layoutTarget val="inner"/>
          <c:xMode val="edge"/>
          <c:yMode val="edge"/>
          <c:x val="0.21493236413448774"/>
          <c:y val="0.12446351931330471"/>
          <c:w val="0.75565694337809408"/>
          <c:h val="0.74678111587982865"/>
        </c:manualLayout>
      </c:layout>
      <c:barChart>
        <c:barDir val="col"/>
        <c:grouping val="clustered"/>
        <c:varyColors val="0"/>
        <c:ser>
          <c:idx val="0"/>
          <c:order val="0"/>
          <c:tx>
            <c:strRef>
              <c:f>'Data Input'!$C$92</c:f>
              <c:strCache>
                <c:ptCount val="1"/>
                <c:pt idx="0">
                  <c:v> Taxes </c:v>
                </c:pt>
              </c:strCache>
            </c:strRef>
          </c:tx>
          <c:invertIfNegative val="0"/>
          <c:cat>
            <c:numRef>
              <c:f>'Data Input'!$S$3:$T$3</c:f>
              <c:numCache>
                <c:formatCode>General</c:formatCode>
                <c:ptCount val="2"/>
                <c:pt idx="0">
                  <c:v>2019</c:v>
                </c:pt>
                <c:pt idx="1">
                  <c:v>2020</c:v>
                </c:pt>
              </c:numCache>
            </c:numRef>
          </c:cat>
          <c:val>
            <c:numRef>
              <c:f>'Data Input'!$S$92:$T$92</c:f>
              <c:numCache>
                <c:formatCode>_(* #,##0_);_(* \(#,##0\);_(* "-"_);_(@_)</c:formatCode>
                <c:ptCount val="2"/>
                <c:pt idx="0">
                  <c:v>11552063</c:v>
                </c:pt>
                <c:pt idx="1">
                  <c:v>11967619</c:v>
                </c:pt>
              </c:numCache>
            </c:numRef>
          </c:val>
          <c:extLst>
            <c:ext xmlns:c16="http://schemas.microsoft.com/office/drawing/2014/chart" uri="{C3380CC4-5D6E-409C-BE32-E72D297353CC}">
              <c16:uniqueId val="{00000000-126D-44B9-B491-F3ABBE203003}"/>
            </c:ext>
          </c:extLst>
        </c:ser>
        <c:dLbls>
          <c:showLegendKey val="0"/>
          <c:showVal val="0"/>
          <c:showCatName val="0"/>
          <c:showSerName val="0"/>
          <c:showPercent val="0"/>
          <c:showBubbleSize val="0"/>
        </c:dLbls>
        <c:gapWidth val="150"/>
        <c:axId val="-1974911136"/>
        <c:axId val="-1974896448"/>
      </c:barChart>
      <c:catAx>
        <c:axId val="-1974911136"/>
        <c:scaling>
          <c:orientation val="minMax"/>
        </c:scaling>
        <c:delete val="0"/>
        <c:axPos val="b"/>
        <c:numFmt formatCode="General" sourceLinked="1"/>
        <c:majorTickMark val="out"/>
        <c:minorTickMark val="none"/>
        <c:tickLblPos val="nextTo"/>
        <c:crossAx val="-1974896448"/>
        <c:crosses val="autoZero"/>
        <c:auto val="1"/>
        <c:lblAlgn val="ctr"/>
        <c:lblOffset val="100"/>
        <c:tickLblSkip val="1"/>
        <c:tickMarkSkip val="1"/>
        <c:noMultiLvlLbl val="1"/>
      </c:catAx>
      <c:valAx>
        <c:axId val="-1974896448"/>
        <c:scaling>
          <c:orientation val="minMax"/>
          <c:min val="0"/>
        </c:scaling>
        <c:delete val="0"/>
        <c:axPos val="l"/>
        <c:majorGridlines/>
        <c:title>
          <c:tx>
            <c:rich>
              <a:bodyPr/>
              <a:lstStyle/>
              <a:p>
                <a:r>
                  <a:rPr lang="en-US" sz="1050" b="0" i="0" u="none" baseline="0">
                    <a:solidFill>
                      <a:srgbClr val="000000"/>
                    </a:solidFill>
                    <a:latin typeface="Arial"/>
                    <a:ea typeface="Arial"/>
                    <a:cs typeface="Arial"/>
                  </a:rPr>
                  <a:t>Amount</a:t>
                </a:r>
              </a:p>
            </c:rich>
          </c:tx>
          <c:layout>
            <c:manualLayout>
              <c:xMode val="edge"/>
              <c:yMode val="edge"/>
              <c:x val="2.2462319820231287E-2"/>
              <c:y val="0.34529385347744079"/>
            </c:manualLayout>
          </c:layout>
          <c:overlay val="0"/>
          <c:spPr>
            <a:noFill/>
            <a:ln w="25400">
              <a:noFill/>
            </a:ln>
          </c:spPr>
        </c:title>
        <c:numFmt formatCode="_(* #,##0_);_(* \(#,##0\);_(* &quot;-&quot;_);_(@_)" sourceLinked="1"/>
        <c:majorTickMark val="out"/>
        <c:minorTickMark val="none"/>
        <c:tickLblPos val="nextTo"/>
        <c:crossAx val="-1974911136"/>
        <c:crosses val="autoZero"/>
        <c:crossBetween val="between"/>
      </c:valAx>
    </c:plotArea>
    <c:plotVisOnly val="1"/>
    <c:dispBlanksAs val="gap"/>
    <c:showDLblsOverMax val="0"/>
  </c:chart>
  <c:spPr>
    <a:noFill/>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'Data Input'!$T$3</c:f>
              <c:strCache>
                <c:ptCount val="1"/>
                <c:pt idx="0">
                  <c:v>2020</c:v>
                </c:pt>
              </c:strCache>
            </c:strRef>
          </c:tx>
          <c:dLbls>
            <c:dLbl>
              <c:idx val="0"/>
              <c:layout>
                <c:manualLayout>
                  <c:x val="-9.5907409164216022E-3"/>
                  <c:y val="-2.23897105112783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A0C-42BC-8246-C4DC63C53418}"/>
                </c:ext>
              </c:extLst>
            </c:dLbl>
            <c:dLbl>
              <c:idx val="1"/>
              <c:layout>
                <c:manualLayout>
                  <c:x val="-3.2107263700471199E-2"/>
                  <c:y val="-6.638579771624490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0C-42BC-8246-C4DC63C53418}"/>
                </c:ext>
              </c:extLst>
            </c:dLbl>
            <c:dLbl>
              <c:idx val="2"/>
              <c:layout>
                <c:manualLayout>
                  <c:x val="0.11047642128248335"/>
                  <c:y val="3.05853645327392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0C-42BC-8246-C4DC63C53418}"/>
                </c:ext>
              </c:extLst>
            </c:dLbl>
            <c:dLbl>
              <c:idx val="4"/>
              <c:layout>
                <c:manualLayout>
                  <c:x val="2.4819909559497845E-3"/>
                  <c:y val="-5.812282689756031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0C-42BC-8246-C4DC63C53418}"/>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'Data Input'!$C$17:$C$26</c:f>
              <c:strCache>
                <c:ptCount val="10"/>
                <c:pt idx="0">
                  <c:v> General Government </c:v>
                </c:pt>
                <c:pt idx="1">
                  <c:v> Police  </c:v>
                </c:pt>
                <c:pt idx="2">
                  <c:v> Other Public Safety </c:v>
                </c:pt>
                <c:pt idx="3">
                  <c:v> Public Works </c:v>
                </c:pt>
                <c:pt idx="4">
                  <c:v> Health &amp; Welfare </c:v>
                </c:pt>
                <c:pt idx="5">
                  <c:v> Community &amp; Economic Development </c:v>
                </c:pt>
                <c:pt idx="6">
                  <c:v> Recreation &amp; Culture </c:v>
                </c:pt>
                <c:pt idx="7">
                  <c:v> Capital Outlay </c:v>
                </c:pt>
                <c:pt idx="8">
                  <c:v> Debt service </c:v>
                </c:pt>
                <c:pt idx="9">
                  <c:v> Other </c:v>
                </c:pt>
              </c:strCache>
            </c:strRef>
          </c:cat>
          <c:val>
            <c:numRef>
              <c:f>'Data Input'!$T$17:$T$26</c:f>
              <c:numCache>
                <c:formatCode>_(* #,##0_);_(* \(#,##0\);_(* "-"_);_(@_)</c:formatCode>
                <c:ptCount val="10"/>
                <c:pt idx="0">
                  <c:v>9355259</c:v>
                </c:pt>
                <c:pt idx="1">
                  <c:v>3670971.6</c:v>
                </c:pt>
                <c:pt idx="2">
                  <c:v>6694884.8300000001</c:v>
                </c:pt>
                <c:pt idx="3">
                  <c:v>211564</c:v>
                </c:pt>
                <c:pt idx="4">
                  <c:v>4579640</c:v>
                </c:pt>
                <c:pt idx="5">
                  <c:v>205148</c:v>
                </c:pt>
                <c:pt idx="6">
                  <c:v>1357607</c:v>
                </c:pt>
                <c:pt idx="7">
                  <c:v>129557</c:v>
                </c:pt>
                <c:pt idx="8">
                  <c:v>1314385</c:v>
                </c:pt>
                <c:pt idx="9">
                  <c:v>111563</c:v>
                </c:pt>
              </c:numCache>
            </c:numRef>
          </c:val>
          <c:extLst>
            <c:ext xmlns:c16="http://schemas.microsoft.com/office/drawing/2014/chart" uri="{C3380CC4-5D6E-409C-BE32-E72D297353CC}">
              <c16:uniqueId val="{00000004-AA0C-42BC-8246-C4DC63C53418}"/>
            </c:ext>
          </c:extLst>
        </c:ser>
        <c:dLbls>
          <c:showLegendKey val="0"/>
          <c:showVal val="0"/>
          <c:showCatName val="0"/>
          <c:showSerName val="0"/>
          <c:showPercent val="1"/>
          <c:showBubbleSize val="0"/>
          <c:showLeaderLines val="1"/>
        </c:dLbls>
        <c:firstSliceAng val="0"/>
      </c:pieChart>
    </c:plotArea>
    <c:legend>
      <c:legendPos val="tr"/>
      <c:layout>
        <c:manualLayout>
          <c:xMode val="edge"/>
          <c:yMode val="edge"/>
          <c:x val="0.65386695457394062"/>
          <c:y val="2.497729754583599E-2"/>
          <c:w val="0.33937561083553097"/>
          <c:h val="0.91895706106043651"/>
        </c:manualLayout>
      </c:layout>
      <c:overlay val="0"/>
      <c:txPr>
        <a:bodyPr/>
        <a:lstStyle/>
        <a:p>
          <a:pPr>
            <a:defRPr sz="800"/>
          </a:pPr>
          <a:endParaRPr lang="en-US"/>
        </a:p>
      </c:txPr>
    </c:legend>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93217978726568"/>
          <c:y val="5.5776892430278883E-2"/>
          <c:w val="0.83980682053865074"/>
          <c:h val="0.45019920318725098"/>
        </c:manualLayout>
      </c:layout>
      <c:barChart>
        <c:barDir val="col"/>
        <c:grouping val="clustered"/>
        <c:varyColors val="0"/>
        <c:ser>
          <c:idx val="0"/>
          <c:order val="0"/>
          <c:tx>
            <c:strRef>
              <c:f>'Data Input'!$U$3</c:f>
              <c:strCache>
                <c:ptCount val="1"/>
                <c:pt idx="0">
                  <c:v>2019</c:v>
                </c:pt>
              </c:strCache>
            </c:strRef>
          </c:tx>
          <c:invertIfNegative val="0"/>
          <c:val>
            <c:numRef>
              <c:f>'Data Input'!$U$17:$U$26</c:f>
              <c:numCache>
                <c:formatCode>_(* #,##0_);_(* \(#,##0\);_(* "-"_);_(@_)</c:formatCode>
                <c:ptCount val="10"/>
                <c:pt idx="0">
                  <c:v>199.41</c:v>
                </c:pt>
                <c:pt idx="1">
                  <c:v>66.8</c:v>
                </c:pt>
                <c:pt idx="2">
                  <c:v>124.12</c:v>
                </c:pt>
                <c:pt idx="3">
                  <c:v>5.01</c:v>
                </c:pt>
                <c:pt idx="4">
                  <c:v>97.54</c:v>
                </c:pt>
                <c:pt idx="5">
                  <c:v>4.4400000000000004</c:v>
                </c:pt>
                <c:pt idx="6">
                  <c:v>14.19</c:v>
                </c:pt>
                <c:pt idx="7">
                  <c:v>3.97</c:v>
                </c:pt>
                <c:pt idx="8">
                  <c:v>27.03</c:v>
                </c:pt>
                <c:pt idx="9">
                  <c:v>2.52</c:v>
                </c:pt>
              </c:numCache>
            </c:numRef>
          </c:val>
          <c:extLst>
            <c:ext xmlns:c16="http://schemas.microsoft.com/office/drawing/2014/chart" uri="{C3380CC4-5D6E-409C-BE32-E72D297353CC}">
              <c16:uniqueId val="{00000000-0916-499F-BBD6-FA634964C1FF}"/>
            </c:ext>
          </c:extLst>
        </c:ser>
        <c:ser>
          <c:idx val="1"/>
          <c:order val="1"/>
          <c:tx>
            <c:strRef>
              <c:f>'Data Input'!$V$3</c:f>
              <c:strCache>
                <c:ptCount val="1"/>
                <c:pt idx="0">
                  <c:v>2020</c:v>
                </c:pt>
              </c:strCache>
            </c:strRef>
          </c:tx>
          <c:invertIfNegative val="0"/>
          <c:cat>
            <c:strRef>
              <c:f>'Data Input'!$C$17:$C$26</c:f>
              <c:strCache>
                <c:ptCount val="10"/>
                <c:pt idx="0">
                  <c:v> General Government </c:v>
                </c:pt>
                <c:pt idx="1">
                  <c:v> Police  </c:v>
                </c:pt>
                <c:pt idx="2">
                  <c:v> Other Public Safety </c:v>
                </c:pt>
                <c:pt idx="3">
                  <c:v> Public Works </c:v>
                </c:pt>
                <c:pt idx="4">
                  <c:v> Health &amp; Welfare </c:v>
                </c:pt>
                <c:pt idx="5">
                  <c:v> Community &amp; Economic Development </c:v>
                </c:pt>
                <c:pt idx="6">
                  <c:v> Recreation &amp; Culture </c:v>
                </c:pt>
                <c:pt idx="7">
                  <c:v> Capital Outlay </c:v>
                </c:pt>
                <c:pt idx="8">
                  <c:v> Debt service </c:v>
                </c:pt>
                <c:pt idx="9">
                  <c:v> Other </c:v>
                </c:pt>
              </c:strCache>
            </c:strRef>
          </c:cat>
          <c:val>
            <c:numRef>
              <c:f>'Data Input'!$V$17:$V$26</c:f>
              <c:numCache>
                <c:formatCode>_(* #,##0_);_(* \(#,##0\);_(* "-"_);_(@_)</c:formatCode>
                <c:ptCount val="10"/>
                <c:pt idx="0">
                  <c:v>189.91</c:v>
                </c:pt>
                <c:pt idx="1">
                  <c:v>74.52</c:v>
                </c:pt>
                <c:pt idx="2">
                  <c:v>135.9</c:v>
                </c:pt>
                <c:pt idx="3">
                  <c:v>4.29</c:v>
                </c:pt>
                <c:pt idx="4">
                  <c:v>92.96</c:v>
                </c:pt>
                <c:pt idx="5">
                  <c:v>4.16</c:v>
                </c:pt>
                <c:pt idx="6">
                  <c:v>27.56</c:v>
                </c:pt>
                <c:pt idx="7">
                  <c:v>2.63</c:v>
                </c:pt>
                <c:pt idx="8">
                  <c:v>26.68</c:v>
                </c:pt>
                <c:pt idx="9">
                  <c:v>2.2599999999999998</c:v>
                </c:pt>
              </c:numCache>
            </c:numRef>
          </c:val>
          <c:extLst>
            <c:ext xmlns:c16="http://schemas.microsoft.com/office/drawing/2014/chart" uri="{C3380CC4-5D6E-409C-BE32-E72D297353CC}">
              <c16:uniqueId val="{00000001-0916-499F-BBD6-FA634964C1FF}"/>
            </c:ext>
          </c:extLst>
        </c:ser>
        <c:dLbls>
          <c:showLegendKey val="0"/>
          <c:showVal val="0"/>
          <c:showCatName val="0"/>
          <c:showSerName val="0"/>
          <c:showPercent val="0"/>
          <c:showBubbleSize val="0"/>
        </c:dLbls>
        <c:gapWidth val="150"/>
        <c:axId val="-1974892096"/>
        <c:axId val="-1974911680"/>
      </c:barChart>
      <c:catAx>
        <c:axId val="-1974892096"/>
        <c:scaling>
          <c:orientation val="minMax"/>
        </c:scaling>
        <c:delete val="0"/>
        <c:axPos val="b"/>
        <c:numFmt formatCode="_(* #,##0_);_(* \(#,##0\);_(* &quot;-&quot;_);_(@_)" sourceLinked="1"/>
        <c:majorTickMark val="out"/>
        <c:minorTickMark val="none"/>
        <c:tickLblPos val="nextTo"/>
        <c:txPr>
          <a:bodyPr rot="-5400000"/>
          <a:lstStyle/>
          <a:p>
            <a:pPr>
              <a:defRPr sz="1000" b="0" i="0" u="none" baseline="0">
                <a:solidFill>
                  <a:srgbClr val="000000"/>
                </a:solidFill>
                <a:latin typeface="Calibri"/>
                <a:ea typeface="Calibri"/>
                <a:cs typeface="Calibri"/>
              </a:defRPr>
            </a:pPr>
            <a:endParaRPr lang="en-US"/>
          </a:p>
        </c:txPr>
        <c:crossAx val="-1974911680"/>
        <c:crosses val="autoZero"/>
        <c:auto val="1"/>
        <c:lblAlgn val="ctr"/>
        <c:lblOffset val="100"/>
        <c:tickLblSkip val="1"/>
        <c:tickMarkSkip val="1"/>
        <c:noMultiLvlLbl val="1"/>
      </c:catAx>
      <c:valAx>
        <c:axId val="-1974911680"/>
        <c:scaling>
          <c:orientation val="minMax"/>
          <c:max val="180"/>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2096"/>
        <c:crosses val="autoZero"/>
        <c:crossBetween val="between"/>
      </c:valAx>
    </c:plotArea>
    <c:legend>
      <c:legendPos val="r"/>
      <c:layout>
        <c:manualLayout>
          <c:xMode val="edge"/>
          <c:yMode val="edge"/>
          <c:x val="0.74888663913420084"/>
          <c:y val="0.88249784351367833"/>
          <c:w val="0.21931045027138613"/>
          <c:h val="8.6614173228346525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174091391380719"/>
          <c:y val="3.6642020334334613E-2"/>
        </c:manualLayout>
      </c:layout>
      <c:overlay val="0"/>
      <c:spPr>
        <a:noFill/>
        <a:ln w="25400">
          <a:noFill/>
        </a:ln>
      </c:spPr>
    </c:title>
    <c:autoTitleDeleted val="0"/>
    <c:plotArea>
      <c:layout>
        <c:manualLayout>
          <c:layoutTarget val="inner"/>
          <c:xMode val="edge"/>
          <c:yMode val="edge"/>
          <c:x val="0.15643024312483184"/>
          <c:y val="9.0128370632598168E-2"/>
          <c:w val="0.81800000000000062"/>
          <c:h val="0.79749999999999999"/>
        </c:manualLayout>
      </c:layout>
      <c:barChart>
        <c:barDir val="col"/>
        <c:grouping val="clustered"/>
        <c:varyColors val="0"/>
        <c:ser>
          <c:idx val="0"/>
          <c:order val="0"/>
          <c:tx>
            <c:strRef>
              <c:f>'Data Input'!$C$94</c:f>
              <c:strCache>
                <c:ptCount val="1"/>
                <c:pt idx="0">
                  <c:v> General Government </c:v>
                </c:pt>
              </c:strCache>
            </c:strRef>
          </c:tx>
          <c:invertIfNegative val="0"/>
          <c:cat>
            <c:numRef>
              <c:f>'Data Input'!$S$3:$T$3</c:f>
              <c:numCache>
                <c:formatCode>General</c:formatCode>
                <c:ptCount val="2"/>
                <c:pt idx="0">
                  <c:v>2019</c:v>
                </c:pt>
                <c:pt idx="1">
                  <c:v>2020</c:v>
                </c:pt>
              </c:numCache>
            </c:numRef>
          </c:cat>
          <c:val>
            <c:numRef>
              <c:f>'Data Input'!$S$94:$T$94</c:f>
              <c:numCache>
                <c:formatCode>_(* #,##0_);_(* \(#,##0\);_(* "-"_);_(@_)</c:formatCode>
                <c:ptCount val="2"/>
                <c:pt idx="0">
                  <c:v>9749340</c:v>
                </c:pt>
                <c:pt idx="1">
                  <c:v>9355259</c:v>
                </c:pt>
              </c:numCache>
            </c:numRef>
          </c:val>
          <c:extLst>
            <c:ext xmlns:c16="http://schemas.microsoft.com/office/drawing/2014/chart" uri="{C3380CC4-5D6E-409C-BE32-E72D297353CC}">
              <c16:uniqueId val="{00000000-A8B5-47EE-B1D8-ACBACCC31AFB}"/>
            </c:ext>
          </c:extLst>
        </c:ser>
        <c:dLbls>
          <c:showLegendKey val="0"/>
          <c:showVal val="0"/>
          <c:showCatName val="0"/>
          <c:showSerName val="0"/>
          <c:showPercent val="0"/>
          <c:showBubbleSize val="0"/>
        </c:dLbls>
        <c:gapWidth val="150"/>
        <c:axId val="-1974918208"/>
        <c:axId val="-1974909504"/>
      </c:barChart>
      <c:catAx>
        <c:axId val="-1974918208"/>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9504"/>
        <c:crosses val="autoZero"/>
        <c:auto val="1"/>
        <c:lblAlgn val="ctr"/>
        <c:lblOffset val="100"/>
        <c:tickLblSkip val="1"/>
        <c:tickMarkSkip val="1"/>
        <c:noMultiLvlLbl val="1"/>
      </c:catAx>
      <c:valAx>
        <c:axId val="-1974909504"/>
        <c:scaling>
          <c:orientation val="minMax"/>
        </c:scaling>
        <c:delete val="0"/>
        <c:axPos val="l"/>
        <c:majorGridlines>
          <c:spPr>
            <a:ln>
              <a:solidFill>
                <a:schemeClr val="bg1">
                  <a:lumMod val="85000"/>
                  <a:alpha val="47000"/>
                </a:schemeClr>
              </a:solidFill>
            </a:ln>
          </c:spPr>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18208"/>
        <c:crosses val="autoZero"/>
        <c:crossBetween val="between"/>
      </c:valAx>
    </c:plotArea>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70516393289318"/>
          <c:y val="0.1204954954954955"/>
          <c:w val="0.77797445153085076"/>
          <c:h val="0.78918174079591408"/>
        </c:manualLayout>
      </c:layout>
      <c:barChart>
        <c:barDir val="col"/>
        <c:grouping val="clustered"/>
        <c:varyColors val="0"/>
        <c:ser>
          <c:idx val="0"/>
          <c:order val="0"/>
          <c:tx>
            <c:strRef>
              <c:f>'Data Input'!$C$15</c:f>
              <c:strCache>
                <c:ptCount val="1"/>
                <c:pt idx="0">
                  <c:v> Total Revenue </c:v>
                </c:pt>
              </c:strCache>
            </c:strRef>
          </c:tx>
          <c:invertIfNegative val="0"/>
          <c:cat>
            <c:numRef>
              <c:f>'Data Input'!$S$3:$T$3</c:f>
              <c:numCache>
                <c:formatCode>General</c:formatCode>
                <c:ptCount val="2"/>
                <c:pt idx="0">
                  <c:v>2019</c:v>
                </c:pt>
                <c:pt idx="1">
                  <c:v>2020</c:v>
                </c:pt>
              </c:numCache>
            </c:numRef>
          </c:cat>
          <c:val>
            <c:numRef>
              <c:f>'Data Input'!$S$15:$T$15</c:f>
              <c:numCache>
                <c:formatCode>_(* #,##0_);_(* \(#,##0\);_(* "-"_);_(@_)</c:formatCode>
                <c:ptCount val="2"/>
                <c:pt idx="0">
                  <c:v>26957060</c:v>
                </c:pt>
                <c:pt idx="1">
                  <c:v>29385763</c:v>
                </c:pt>
              </c:numCache>
            </c:numRef>
          </c:val>
          <c:extLst>
            <c:ext xmlns:c16="http://schemas.microsoft.com/office/drawing/2014/chart" uri="{C3380CC4-5D6E-409C-BE32-E72D297353CC}">
              <c16:uniqueId val="{00000000-0AE4-4097-9163-1C258D6DC65B}"/>
            </c:ext>
          </c:extLst>
        </c:ser>
        <c:ser>
          <c:idx val="1"/>
          <c:order val="1"/>
          <c:tx>
            <c:strRef>
              <c:f>'Data Input'!$C$27</c:f>
              <c:strCache>
                <c:ptCount val="1"/>
                <c:pt idx="0">
                  <c:v> Total Expenditures </c:v>
                </c:pt>
              </c:strCache>
            </c:strRef>
          </c:tx>
          <c:invertIfNegative val="0"/>
          <c:cat>
            <c:numRef>
              <c:f>'Data Input'!$S$3:$T$3</c:f>
              <c:numCache>
                <c:formatCode>General</c:formatCode>
                <c:ptCount val="2"/>
                <c:pt idx="0">
                  <c:v>2019</c:v>
                </c:pt>
                <c:pt idx="1">
                  <c:v>2020</c:v>
                </c:pt>
              </c:numCache>
            </c:numRef>
          </c:cat>
          <c:val>
            <c:numRef>
              <c:f>'Data Input'!$R$27:$S$27</c:f>
              <c:numCache>
                <c:formatCode>_(* #,##0_);_(* \(#,##0\);_(* "-"_);_(@_)</c:formatCode>
                <c:ptCount val="2"/>
                <c:pt idx="0">
                  <c:v>25258073</c:v>
                </c:pt>
                <c:pt idx="1">
                  <c:v>26647456</c:v>
                </c:pt>
              </c:numCache>
            </c:numRef>
          </c:val>
          <c:extLst>
            <c:ext xmlns:c16="http://schemas.microsoft.com/office/drawing/2014/chart" uri="{C3380CC4-5D6E-409C-BE32-E72D297353CC}">
              <c16:uniqueId val="{00000001-0AE4-4097-9163-1C258D6DC65B}"/>
            </c:ext>
          </c:extLst>
        </c:ser>
        <c:dLbls>
          <c:showLegendKey val="0"/>
          <c:showVal val="0"/>
          <c:showCatName val="0"/>
          <c:showSerName val="0"/>
          <c:showPercent val="0"/>
          <c:showBubbleSize val="0"/>
        </c:dLbls>
        <c:gapWidth val="150"/>
        <c:axId val="-1974898080"/>
        <c:axId val="-1974908960"/>
      </c:barChart>
      <c:catAx>
        <c:axId val="-1974898080"/>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8960"/>
        <c:crosses val="autoZero"/>
        <c:auto val="1"/>
        <c:lblAlgn val="ctr"/>
        <c:lblOffset val="100"/>
        <c:tickLblSkip val="1"/>
        <c:tickMarkSkip val="1"/>
        <c:noMultiLvlLbl val="1"/>
      </c:catAx>
      <c:valAx>
        <c:axId val="-1974908960"/>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8080"/>
        <c:crosses val="autoZero"/>
        <c:crossBetween val="between"/>
      </c:valAx>
    </c:plotArea>
    <c:legend>
      <c:legendPos val="r"/>
      <c:layout>
        <c:manualLayout>
          <c:xMode val="edge"/>
          <c:yMode val="edge"/>
          <c:x val="0.41992511434198576"/>
          <c:y val="0.11158657947683695"/>
          <c:w val="0.23254942300858472"/>
          <c:h val="0.1514699559335794"/>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95644925491806"/>
          <c:y val="5.1103363987898456E-2"/>
        </c:manualLayout>
      </c:layout>
      <c:overlay val="0"/>
    </c:title>
    <c:autoTitleDeleted val="0"/>
    <c:plotArea>
      <c:layout>
        <c:manualLayout>
          <c:layoutTarget val="inner"/>
          <c:xMode val="edge"/>
          <c:yMode val="edge"/>
          <c:x val="0.16135473861851257"/>
          <c:y val="6.5891722276686188E-2"/>
          <c:w val="0.83665420024414217"/>
          <c:h val="0.71705697771687904"/>
        </c:manualLayout>
      </c:layout>
      <c:barChart>
        <c:barDir val="col"/>
        <c:grouping val="stacked"/>
        <c:varyColors val="0"/>
        <c:ser>
          <c:idx val="0"/>
          <c:order val="0"/>
          <c:tx>
            <c:strRef>
              <c:f>'Data Input'!$C$47</c:f>
              <c:strCache>
                <c:ptCount val="1"/>
                <c:pt idx="0">
                  <c:v> Total fund balance </c:v>
                </c:pt>
              </c:strCache>
            </c:strRef>
          </c:tx>
          <c:invertIfNegative val="0"/>
          <c:cat>
            <c:numRef>
              <c:f>'Data Input'!$J$3:$T$3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 Input'!$J$47:$T$47</c:f>
              <c:numCache>
                <c:formatCode>_(* #,##0_);_(* \(#,##0\);_(* "-"_);_(@_)</c:formatCode>
                <c:ptCount val="11"/>
                <c:pt idx="0">
                  <c:v>8264197</c:v>
                </c:pt>
                <c:pt idx="1">
                  <c:v>7970327</c:v>
                </c:pt>
                <c:pt idx="2">
                  <c:v>8921432</c:v>
                </c:pt>
                <c:pt idx="3">
                  <c:v>9376156</c:v>
                </c:pt>
                <c:pt idx="4">
                  <c:v>9436269</c:v>
                </c:pt>
                <c:pt idx="5">
                  <c:v>9724264</c:v>
                </c:pt>
                <c:pt idx="6">
                  <c:v>9557155</c:v>
                </c:pt>
                <c:pt idx="7">
                  <c:v>9208782</c:v>
                </c:pt>
                <c:pt idx="8">
                  <c:v>10819416</c:v>
                </c:pt>
                <c:pt idx="9">
                  <c:v>12303065</c:v>
                </c:pt>
                <c:pt idx="10">
                  <c:v>14346839</c:v>
                </c:pt>
              </c:numCache>
            </c:numRef>
          </c:val>
          <c:extLst>
            <c:ext xmlns:c16="http://schemas.microsoft.com/office/drawing/2014/chart" uri="{C3380CC4-5D6E-409C-BE32-E72D297353CC}">
              <c16:uniqueId val="{00000000-FB1F-4C51-8C2F-91B82A2F9B82}"/>
            </c:ext>
          </c:extLst>
        </c:ser>
        <c:dLbls>
          <c:showLegendKey val="0"/>
          <c:showVal val="0"/>
          <c:showCatName val="0"/>
          <c:showSerName val="0"/>
          <c:showPercent val="0"/>
          <c:showBubbleSize val="0"/>
        </c:dLbls>
        <c:gapWidth val="150"/>
        <c:overlap val="100"/>
        <c:axId val="-1974907872"/>
        <c:axId val="-1974899712"/>
      </c:barChart>
      <c:catAx>
        <c:axId val="-1974907872"/>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9712"/>
        <c:crosses val="autoZero"/>
        <c:auto val="1"/>
        <c:lblAlgn val="ctr"/>
        <c:lblOffset val="100"/>
        <c:tickLblSkip val="1"/>
        <c:tickMarkSkip val="1"/>
        <c:noMultiLvlLbl val="1"/>
      </c:catAx>
      <c:valAx>
        <c:axId val="-1974899712"/>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7872"/>
        <c:crosses val="autoZero"/>
        <c:crossBetween val="between"/>
      </c:valAx>
    </c:plotArea>
    <c:legend>
      <c:legendPos val="b"/>
      <c:layout>
        <c:manualLayout>
          <c:xMode val="edge"/>
          <c:yMode val="edge"/>
          <c:x val="0.12948219765683144"/>
          <c:y val="0.89535222623026456"/>
          <c:w val="0.69322776591657387"/>
          <c:h val="7.7519673266689682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4111579799508"/>
          <c:y val="0.17153232548632394"/>
          <c:w val="0.8747500000000018"/>
          <c:h val="0.72275000000000145"/>
        </c:manualLayout>
      </c:layout>
      <c:barChart>
        <c:barDir val="col"/>
        <c:grouping val="stacked"/>
        <c:varyColors val="1"/>
        <c:ser>
          <c:idx val="1"/>
          <c:order val="0"/>
          <c:tx>
            <c:strRef>
              <c:f>'Data Input'!$C$47</c:f>
              <c:strCache>
                <c:ptCount val="1"/>
                <c:pt idx="0">
                  <c:v> Total fund balance </c:v>
                </c:pt>
              </c:strCache>
            </c:strRef>
          </c:tx>
          <c:invertIfNegative val="0"/>
          <c:cat>
            <c:numRef>
              <c:f>'Data Input'!$S$3:$T$3</c:f>
              <c:numCache>
                <c:formatCode>General</c:formatCode>
                <c:ptCount val="2"/>
                <c:pt idx="0">
                  <c:v>2019</c:v>
                </c:pt>
                <c:pt idx="1">
                  <c:v>2020</c:v>
                </c:pt>
              </c:numCache>
            </c:numRef>
          </c:cat>
          <c:val>
            <c:numRef>
              <c:f>'Data Input'!$U$47:$V$47</c:f>
              <c:numCache>
                <c:formatCode>_(* #,##0_);_(* \(#,##0\);_(* "-"_);_(@_)</c:formatCode>
                <c:ptCount val="2"/>
                <c:pt idx="0">
                  <c:v>251.63758897161091</c:v>
                </c:pt>
                <c:pt idx="1">
                  <c:v>291.23541472128619</c:v>
                </c:pt>
              </c:numCache>
            </c:numRef>
          </c:val>
          <c:extLst>
            <c:ext xmlns:c16="http://schemas.microsoft.com/office/drawing/2014/chart" uri="{C3380CC4-5D6E-409C-BE32-E72D297353CC}">
              <c16:uniqueId val="{00000000-6D41-41B0-B795-0A7B9B6E5D44}"/>
            </c:ext>
          </c:extLst>
        </c:ser>
        <c:dLbls>
          <c:showLegendKey val="0"/>
          <c:showVal val="0"/>
          <c:showCatName val="0"/>
          <c:showSerName val="0"/>
          <c:showPercent val="0"/>
          <c:showBubbleSize val="0"/>
        </c:dLbls>
        <c:gapWidth val="150"/>
        <c:overlap val="100"/>
        <c:axId val="-1974895904"/>
        <c:axId val="-1974906784"/>
      </c:barChart>
      <c:catAx>
        <c:axId val="-1974895904"/>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6784"/>
        <c:crosses val="autoZero"/>
        <c:auto val="1"/>
        <c:lblAlgn val="ctr"/>
        <c:lblOffset val="100"/>
        <c:tickLblSkip val="1"/>
        <c:tickMarkSkip val="1"/>
        <c:noMultiLvlLbl val="1"/>
      </c:catAx>
      <c:valAx>
        <c:axId val="-1974906784"/>
        <c:scaling>
          <c:orientation val="minMax"/>
          <c:min val="0"/>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5904"/>
        <c:crosses val="autoZero"/>
        <c:crossBetween val="between"/>
      </c:valAx>
    </c:plotArea>
    <c:legend>
      <c:legendPos val="tr"/>
      <c:layout>
        <c:manualLayout>
          <c:xMode val="edge"/>
          <c:yMode val="edge"/>
          <c:x val="0.13571261116632269"/>
          <c:y val="2.0571323933345542E-2"/>
          <c:w val="0.11340176001282101"/>
          <c:h val="0.13657816028810352"/>
        </c:manualLayout>
      </c:layout>
      <c:overlay val="1"/>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Data Input'!$C$91" fmlaRange="'Data Input'!$C$6:$C$15" sel="1" val="0"/>
</file>

<file path=xl/ctrlProps/ctrlProp2.xml><?xml version="1.0" encoding="utf-8"?>
<formControlPr xmlns="http://schemas.microsoft.com/office/spreadsheetml/2009/9/main" objectType="Drop" dropLines="14" dropStyle="combo" dx="16" fmlaLink="'Data Input'!$C$93" fmlaRange="'Data Input'!$C$17:$C$27" sel="1"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529721</xdr:colOff>
      <xdr:row>26</xdr:row>
      <xdr:rowOff>32404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4213860"/>
          <a:ext cx="54864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i="1"/>
            <a:t>Please "hide" any rows that are not being used</a:t>
          </a:r>
          <a:r>
            <a:rPr lang="en-US" sz="1100"/>
            <a:t>. </a:t>
          </a:r>
        </a:p>
      </xdr:txBody>
    </xdr:sp>
    <xdr:clientData/>
  </xdr:twoCellAnchor>
  <xdr:twoCellAnchor>
    <xdr:from>
      <xdr:col>1</xdr:col>
      <xdr:colOff>0</xdr:colOff>
      <xdr:row>41</xdr:row>
      <xdr:rowOff>30480</xdr:rowOff>
    </xdr:from>
    <xdr:to>
      <xdr:col>2</xdr:col>
      <xdr:colOff>30480</xdr:colOff>
      <xdr:row>46</xdr:row>
      <xdr:rowOff>161912</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7288530"/>
          <a:ext cx="611505" cy="1083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twoCellAnchor>
    <xdr:from>
      <xdr:col>1</xdr:col>
      <xdr:colOff>0</xdr:colOff>
      <xdr:row>41</xdr:row>
      <xdr:rowOff>30480</xdr:rowOff>
    </xdr:from>
    <xdr:to>
      <xdr:col>2</xdr:col>
      <xdr:colOff>30480</xdr:colOff>
      <xdr:row>46</xdr:row>
      <xdr:rowOff>161912</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7288530"/>
          <a:ext cx="611505" cy="1083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xdr:colOff>
      <xdr:row>3</xdr:row>
      <xdr:rowOff>95250</xdr:rowOff>
    </xdr:from>
    <xdr:to>
      <xdr:col>6</xdr:col>
      <xdr:colOff>190499</xdr:colOff>
      <xdr:row>16</xdr:row>
      <xdr:rowOff>28575</xdr:rowOff>
    </xdr:to>
    <xdr:graphicFrame macro="">
      <xdr:nvGraphicFramePr>
        <xdr:cNvPr id="1081" name="Chart 1">
          <a:extLst>
            <a:ext uri="{FF2B5EF4-FFF2-40B4-BE49-F238E27FC236}">
              <a16:creationId xmlns:a16="http://schemas.microsoft.com/office/drawing/2014/main" id="{00000000-0008-0000-0200-00003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123824</xdr:colOff>
      <xdr:row>19</xdr:row>
      <xdr:rowOff>95250</xdr:rowOff>
    </xdr:from>
    <xdr:to>
      <xdr:col>6</xdr:col>
      <xdr:colOff>142874</xdr:colOff>
      <xdr:row>35</xdr:row>
      <xdr:rowOff>85725</xdr:rowOff>
    </xdr:to>
    <xdr:graphicFrame macro="">
      <xdr:nvGraphicFramePr>
        <xdr:cNvPr id="1082" name="Chart 2">
          <a:extLst>
            <a:ext uri="{FF2B5EF4-FFF2-40B4-BE49-F238E27FC236}">
              <a16:creationId xmlns:a16="http://schemas.microsoft.com/office/drawing/2014/main" id="{00000000-0008-0000-0200-00003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104774</xdr:colOff>
      <xdr:row>21</xdr:row>
      <xdr:rowOff>47625</xdr:rowOff>
    </xdr:from>
    <xdr:to>
      <xdr:col>12</xdr:col>
      <xdr:colOff>904874</xdr:colOff>
      <xdr:row>35</xdr:row>
      <xdr:rowOff>66675</xdr:rowOff>
    </xdr:to>
    <xdr:graphicFrame macro="">
      <xdr:nvGraphicFramePr>
        <xdr:cNvPr id="1083" name="Chart 3">
          <a:extLst>
            <a:ext uri="{FF2B5EF4-FFF2-40B4-BE49-F238E27FC236}">
              <a16:creationId xmlns:a16="http://schemas.microsoft.com/office/drawing/2014/main" id="{00000000-0008-0000-0200-00003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57150</xdr:colOff>
          <xdr:row>19</xdr:row>
          <xdr:rowOff>9525</xdr:rowOff>
        </xdr:from>
        <xdr:to>
          <xdr:col>10</xdr:col>
          <xdr:colOff>381000</xdr:colOff>
          <xdr:row>20</xdr:row>
          <xdr:rowOff>76200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xdr:colOff>
      <xdr:row>3</xdr:row>
      <xdr:rowOff>47626</xdr:rowOff>
    </xdr:from>
    <xdr:to>
      <xdr:col>6</xdr:col>
      <xdr:colOff>66675</xdr:colOff>
      <xdr:row>17</xdr:row>
      <xdr:rowOff>123826</xdr:rowOff>
    </xdr:to>
    <xdr:graphicFrame macro="">
      <xdr:nvGraphicFramePr>
        <xdr:cNvPr id="2102" name="Chart 4">
          <a:extLst>
            <a:ext uri="{FF2B5EF4-FFF2-40B4-BE49-F238E27FC236}">
              <a16:creationId xmlns:a16="http://schemas.microsoft.com/office/drawing/2014/main" id="{00000000-0008-0000-03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45892</xdr:colOff>
      <xdr:row>20</xdr:row>
      <xdr:rowOff>71004</xdr:rowOff>
    </xdr:from>
    <xdr:to>
      <xdr:col>6</xdr:col>
      <xdr:colOff>26844</xdr:colOff>
      <xdr:row>34</xdr:row>
      <xdr:rowOff>4330</xdr:rowOff>
    </xdr:to>
    <xdr:graphicFrame macro="">
      <xdr:nvGraphicFramePr>
        <xdr:cNvPr id="2103" name="Chart 5">
          <a:extLst>
            <a:ext uri="{FF2B5EF4-FFF2-40B4-BE49-F238E27FC236}">
              <a16:creationId xmlns:a16="http://schemas.microsoft.com/office/drawing/2014/main" id="{00000000-0008-0000-0300-00003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114299</xdr:colOff>
      <xdr:row>21</xdr:row>
      <xdr:rowOff>9525</xdr:rowOff>
    </xdr:from>
    <xdr:to>
      <xdr:col>13</xdr:col>
      <xdr:colOff>104774</xdr:colOff>
      <xdr:row>35</xdr:row>
      <xdr:rowOff>1</xdr:rowOff>
    </xdr:to>
    <xdr:graphicFrame macro="">
      <xdr:nvGraphicFramePr>
        <xdr:cNvPr id="2104" name="Chart 6">
          <a:extLst>
            <a:ext uri="{FF2B5EF4-FFF2-40B4-BE49-F238E27FC236}">
              <a16:creationId xmlns:a16="http://schemas.microsoft.com/office/drawing/2014/main" id="{00000000-0008-0000-0300-00003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114300</xdr:colOff>
          <xdr:row>20</xdr:row>
          <xdr:rowOff>19050</xdr:rowOff>
        </xdr:from>
        <xdr:to>
          <xdr:col>10</xdr:col>
          <xdr:colOff>209550</xdr:colOff>
          <xdr:row>21</xdr:row>
          <xdr:rowOff>28575</xdr:rowOff>
        </xdr:to>
        <xdr:sp macro="" textlink="">
          <xdr:nvSpPr>
            <xdr:cNvPr id="2100" name="Drop Down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4</xdr:row>
      <xdr:rowOff>47624</xdr:rowOff>
    </xdr:from>
    <xdr:to>
      <xdr:col>5</xdr:col>
      <xdr:colOff>790574</xdr:colOff>
      <xdr:row>17</xdr:row>
      <xdr:rowOff>0</xdr:rowOff>
    </xdr:to>
    <xdr:graphicFrame macro="">
      <xdr:nvGraphicFramePr>
        <xdr:cNvPr id="10242" name="Chart 7">
          <a:extLst>
            <a:ext uri="{FF2B5EF4-FFF2-40B4-BE49-F238E27FC236}">
              <a16:creationId xmlns:a16="http://schemas.microsoft.com/office/drawing/2014/main" id="{00000000-0008-0000-0400-00000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20</xdr:row>
      <xdr:rowOff>66675</xdr:rowOff>
    </xdr:from>
    <xdr:to>
      <xdr:col>12</xdr:col>
      <xdr:colOff>742950</xdr:colOff>
      <xdr:row>33</xdr:row>
      <xdr:rowOff>152400</xdr:rowOff>
    </xdr:to>
    <xdr:graphicFrame macro="">
      <xdr:nvGraphicFramePr>
        <xdr:cNvPr id="10243" name="Chart 8">
          <a:extLst>
            <a:ext uri="{FF2B5EF4-FFF2-40B4-BE49-F238E27FC236}">
              <a16:creationId xmlns:a16="http://schemas.microsoft.com/office/drawing/2014/main" id="{00000000-0008-0000-0400-00000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53974</xdr:colOff>
      <xdr:row>20</xdr:row>
      <xdr:rowOff>5292</xdr:rowOff>
    </xdr:from>
    <xdr:to>
      <xdr:col>5</xdr:col>
      <xdr:colOff>730249</xdr:colOff>
      <xdr:row>33</xdr:row>
      <xdr:rowOff>110067</xdr:rowOff>
    </xdr:to>
    <xdr:graphicFrame macro="">
      <xdr:nvGraphicFramePr>
        <xdr:cNvPr id="10244" name="Chart 9">
          <a:extLst>
            <a:ext uri="{FF2B5EF4-FFF2-40B4-BE49-F238E27FC236}">
              <a16:creationId xmlns:a16="http://schemas.microsoft.com/office/drawing/2014/main" id="{00000000-0008-0000-0400-00000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46567</xdr:colOff>
      <xdr:row>4</xdr:row>
      <xdr:rowOff>28575</xdr:rowOff>
    </xdr:from>
    <xdr:to>
      <xdr:col>12</xdr:col>
      <xdr:colOff>656167</xdr:colOff>
      <xdr:row>17</xdr:row>
      <xdr:rowOff>171450</xdr:rowOff>
    </xdr:to>
    <xdr:graphicFrame macro="">
      <xdr:nvGraphicFramePr>
        <xdr:cNvPr id="14338" name="Chart 10">
          <a:extLst>
            <a:ext uri="{FF2B5EF4-FFF2-40B4-BE49-F238E27FC236}">
              <a16:creationId xmlns:a16="http://schemas.microsoft.com/office/drawing/2014/main" id="{00000000-0008-0000-0500-000002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67733</xdr:colOff>
      <xdr:row>4</xdr:row>
      <xdr:rowOff>76199</xdr:rowOff>
    </xdr:from>
    <xdr:to>
      <xdr:col>6</xdr:col>
      <xdr:colOff>686858</xdr:colOff>
      <xdr:row>17</xdr:row>
      <xdr:rowOff>155574</xdr:rowOff>
    </xdr:to>
    <xdr:graphicFrame macro="">
      <xdr:nvGraphicFramePr>
        <xdr:cNvPr id="14339" name="Chart 11">
          <a:extLst>
            <a:ext uri="{FF2B5EF4-FFF2-40B4-BE49-F238E27FC236}">
              <a16:creationId xmlns:a16="http://schemas.microsoft.com/office/drawing/2014/main" id="{00000000-0008-0000-0500-000003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xdr:colOff>
      <xdr:row>20</xdr:row>
      <xdr:rowOff>85726</xdr:rowOff>
    </xdr:from>
    <xdr:to>
      <xdr:col>9</xdr:col>
      <xdr:colOff>676275</xdr:colOff>
      <xdr:row>34</xdr:row>
      <xdr:rowOff>142876</xdr:rowOff>
    </xdr:to>
    <xdr:graphicFrame macro="">
      <xdr:nvGraphicFramePr>
        <xdr:cNvPr id="14340" name="Chart 12">
          <a:extLst>
            <a:ext uri="{FF2B5EF4-FFF2-40B4-BE49-F238E27FC236}">
              <a16:creationId xmlns:a16="http://schemas.microsoft.com/office/drawing/2014/main" id="{00000000-0008-0000-0500-000004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57151</xdr:colOff>
      <xdr:row>20</xdr:row>
      <xdr:rowOff>138641</xdr:rowOff>
    </xdr:from>
    <xdr:to>
      <xdr:col>18</xdr:col>
      <xdr:colOff>666751</xdr:colOff>
      <xdr:row>34</xdr:row>
      <xdr:rowOff>157691</xdr:rowOff>
    </xdr:to>
    <xdr:graphicFrame macro="">
      <xdr:nvGraphicFramePr>
        <xdr:cNvPr id="14341" name="Chart 13">
          <a:extLst>
            <a:ext uri="{FF2B5EF4-FFF2-40B4-BE49-F238E27FC236}">
              <a16:creationId xmlns:a16="http://schemas.microsoft.com/office/drawing/2014/main" id="{00000000-0008-0000-0500-000005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57151</xdr:colOff>
      <xdr:row>4</xdr:row>
      <xdr:rowOff>66674</xdr:rowOff>
    </xdr:from>
    <xdr:to>
      <xdr:col>18</xdr:col>
      <xdr:colOff>676276</xdr:colOff>
      <xdr:row>17</xdr:row>
      <xdr:rowOff>152399</xdr:rowOff>
    </xdr:to>
    <xdr:graphicFrame macro="">
      <xdr:nvGraphicFramePr>
        <xdr:cNvPr id="14342" name="Chart 14">
          <a:extLst>
            <a:ext uri="{FF2B5EF4-FFF2-40B4-BE49-F238E27FC236}">
              <a16:creationId xmlns:a16="http://schemas.microsoft.com/office/drawing/2014/main" id="{00000000-0008-0000-0500-000006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4"/>
  <sheetViews>
    <sheetView showGridLines="0" topLeftCell="A4" workbookViewId="0">
      <selection activeCell="A20" sqref="A20"/>
    </sheetView>
  </sheetViews>
  <sheetFormatPr defaultColWidth="95" defaultRowHeight="15" customHeight="1" x14ac:dyDescent="0.25"/>
  <cols>
    <col min="1" max="1" width="111" customWidth="1"/>
  </cols>
  <sheetData>
    <row r="1" spans="1:1" ht="18" customHeight="1" x14ac:dyDescent="0.25">
      <c r="A1" s="38" t="s">
        <v>44</v>
      </c>
    </row>
    <row r="4" spans="1:1" ht="15" customHeight="1" x14ac:dyDescent="0.25">
      <c r="A4" s="267" t="s">
        <v>7</v>
      </c>
    </row>
    <row r="5" spans="1:1" ht="15" customHeight="1" x14ac:dyDescent="0.25">
      <c r="A5" s="267"/>
    </row>
    <row r="6" spans="1:1" ht="15" customHeight="1" x14ac:dyDescent="0.25">
      <c r="A6" s="267"/>
    </row>
    <row r="7" spans="1:1" ht="15" customHeight="1" x14ac:dyDescent="0.25">
      <c r="A7" s="35"/>
    </row>
    <row r="8" spans="1:1" ht="15" customHeight="1" x14ac:dyDescent="0.25">
      <c r="A8" s="37" t="s">
        <v>241</v>
      </c>
    </row>
    <row r="9" spans="1:1" ht="15" customHeight="1" x14ac:dyDescent="0.25">
      <c r="A9" s="37" t="s">
        <v>240</v>
      </c>
    </row>
    <row r="10" spans="1:1" ht="15" customHeight="1" x14ac:dyDescent="0.25">
      <c r="A10" s="37" t="s">
        <v>239</v>
      </c>
    </row>
    <row r="11" spans="1:1" ht="15" customHeight="1" x14ac:dyDescent="0.25">
      <c r="A11" s="37" t="s">
        <v>238</v>
      </c>
    </row>
    <row r="12" spans="1:1" ht="15" customHeight="1" x14ac:dyDescent="0.25">
      <c r="A12" s="37"/>
    </row>
    <row r="13" spans="1:1" ht="14.25" customHeight="1" x14ac:dyDescent="0.25">
      <c r="A13" s="268" t="s">
        <v>70</v>
      </c>
    </row>
    <row r="14" spans="1:1" ht="14.25" customHeight="1" x14ac:dyDescent="0.25">
      <c r="A14" s="268"/>
    </row>
    <row r="15" spans="1:1" ht="14.25" customHeight="1" x14ac:dyDescent="0.25">
      <c r="A15" s="33"/>
    </row>
    <row r="16" spans="1:1" s="34" customFormat="1" ht="15" customHeight="1" x14ac:dyDescent="0.25">
      <c r="A16" s="268" t="s">
        <v>237</v>
      </c>
    </row>
    <row r="17" spans="1:1" s="34" customFormat="1" ht="15" customHeight="1" x14ac:dyDescent="0.25">
      <c r="A17" s="268"/>
    </row>
    <row r="18" spans="1:1" s="34" customFormat="1" ht="15" customHeight="1" x14ac:dyDescent="0.25">
      <c r="A18" s="268"/>
    </row>
    <row r="19" spans="1:1" s="34" customFormat="1" ht="15" customHeight="1" x14ac:dyDescent="0.25">
      <c r="A19" s="33"/>
    </row>
    <row r="20" spans="1:1" ht="15" customHeight="1" x14ac:dyDescent="0.25">
      <c r="A20" s="36" t="s">
        <v>236</v>
      </c>
    </row>
    <row r="21" spans="1:1" ht="10.5" customHeight="1" x14ac:dyDescent="0.25">
      <c r="A21" s="33"/>
    </row>
    <row r="22" spans="1:1" ht="15" customHeight="1" x14ac:dyDescent="0.25">
      <c r="A22" s="268" t="s">
        <v>235</v>
      </c>
    </row>
    <row r="23" spans="1:1" ht="15" customHeight="1" x14ac:dyDescent="0.25">
      <c r="A23" s="268"/>
    </row>
    <row r="24" spans="1:1" ht="10.5" customHeight="1" x14ac:dyDescent="0.25">
      <c r="A24" s="33"/>
    </row>
    <row r="25" spans="1:1" ht="15" customHeight="1" x14ac:dyDescent="0.25">
      <c r="A25" s="268" t="s">
        <v>83</v>
      </c>
    </row>
    <row r="26" spans="1:1" ht="15" customHeight="1" x14ac:dyDescent="0.25">
      <c r="A26" s="268"/>
    </row>
    <row r="27" spans="1:1" ht="15" customHeight="1" x14ac:dyDescent="0.25">
      <c r="A27" s="268"/>
    </row>
    <row r="28" spans="1:1" ht="15" customHeight="1" x14ac:dyDescent="0.25">
      <c r="A28" s="268"/>
    </row>
    <row r="29" spans="1:1" ht="15" customHeight="1" x14ac:dyDescent="0.25">
      <c r="A29" s="33"/>
    </row>
    <row r="30" spans="1:1" ht="15" customHeight="1" x14ac:dyDescent="0.25">
      <c r="A30" s="35" t="s">
        <v>234</v>
      </c>
    </row>
    <row r="31" spans="1:1" ht="10.5" customHeight="1" x14ac:dyDescent="0.25">
      <c r="A31" s="35"/>
    </row>
    <row r="32" spans="1:1" ht="15" customHeight="1" x14ac:dyDescent="0.25">
      <c r="A32" s="268" t="s">
        <v>233</v>
      </c>
    </row>
    <row r="33" spans="1:1" ht="15" customHeight="1" x14ac:dyDescent="0.25">
      <c r="A33" s="268"/>
    </row>
    <row r="34" spans="1:1" ht="10.5" customHeight="1" x14ac:dyDescent="0.25">
      <c r="A34" s="33"/>
    </row>
    <row r="35" spans="1:1" ht="42.75" customHeight="1" x14ac:dyDescent="0.25">
      <c r="A35" s="34" t="s">
        <v>87</v>
      </c>
    </row>
    <row r="36" spans="1:1" ht="15" customHeight="1" x14ac:dyDescent="0.25">
      <c r="A36" s="34"/>
    </row>
    <row r="37" spans="1:1" ht="28.5" customHeight="1" x14ac:dyDescent="0.25">
      <c r="A37" s="33" t="s">
        <v>232</v>
      </c>
    </row>
    <row r="38" spans="1:1" ht="10.5" customHeight="1" x14ac:dyDescent="0.25">
      <c r="A38" s="33"/>
    </row>
    <row r="39" spans="1:1" ht="28.5" customHeight="1" x14ac:dyDescent="0.25">
      <c r="A39" s="33" t="s">
        <v>184</v>
      </c>
    </row>
    <row r="40" spans="1:1" ht="10.5" customHeight="1" x14ac:dyDescent="0.25">
      <c r="A40" s="33"/>
    </row>
    <row r="41" spans="1:1" ht="15" customHeight="1" x14ac:dyDescent="0.25">
      <c r="A41" s="268" t="s">
        <v>91</v>
      </c>
    </row>
    <row r="42" spans="1:1" ht="15" customHeight="1" x14ac:dyDescent="0.25">
      <c r="A42" s="268"/>
    </row>
    <row r="43" spans="1:1" ht="15" customHeight="1" x14ac:dyDescent="0.25">
      <c r="A43" s="268"/>
    </row>
    <row r="44" spans="1:1" ht="15" customHeight="1" x14ac:dyDescent="0.25">
      <c r="A44" s="268"/>
    </row>
    <row r="45" spans="1:1" ht="15" customHeight="1" x14ac:dyDescent="0.25">
      <c r="A45" s="33"/>
    </row>
    <row r="46" spans="1:1" ht="15" customHeight="1" x14ac:dyDescent="0.25">
      <c r="A46" s="268" t="s">
        <v>231</v>
      </c>
    </row>
    <row r="47" spans="1:1" ht="15" customHeight="1" x14ac:dyDescent="0.25">
      <c r="A47" s="268"/>
    </row>
    <row r="48" spans="1:1" ht="15" customHeight="1" x14ac:dyDescent="0.25">
      <c r="A48" s="268"/>
    </row>
    <row r="49" spans="1:1" ht="15" customHeight="1" x14ac:dyDescent="0.25">
      <c r="A49" s="33"/>
    </row>
    <row r="50" spans="1:1" ht="15" customHeight="1" x14ac:dyDescent="0.25">
      <c r="A50" s="268" t="s">
        <v>230</v>
      </c>
    </row>
    <row r="51" spans="1:1" ht="15" customHeight="1" x14ac:dyDescent="0.25">
      <c r="A51" s="268"/>
    </row>
    <row r="52" spans="1:1" ht="15" customHeight="1" x14ac:dyDescent="0.25">
      <c r="A52" s="268"/>
    </row>
    <row r="53" spans="1:1" ht="15" customHeight="1" x14ac:dyDescent="0.25">
      <c r="A53" s="268"/>
    </row>
    <row r="54" spans="1:1" ht="15" customHeight="1" x14ac:dyDescent="0.25">
      <c r="A54" s="33"/>
    </row>
    <row r="55" spans="1:1" ht="15" customHeight="1" x14ac:dyDescent="0.25">
      <c r="A55" s="268" t="s">
        <v>229</v>
      </c>
    </row>
    <row r="56" spans="1:1" ht="15" customHeight="1" x14ac:dyDescent="0.25">
      <c r="A56" s="268"/>
    </row>
    <row r="57" spans="1:1" ht="15" customHeight="1" x14ac:dyDescent="0.25">
      <c r="A57" s="33"/>
    </row>
    <row r="58" spans="1:1" ht="15" customHeight="1" x14ac:dyDescent="0.25">
      <c r="A58" s="268" t="s">
        <v>193</v>
      </c>
    </row>
    <row r="59" spans="1:1" ht="15" customHeight="1" x14ac:dyDescent="0.25">
      <c r="A59" s="268"/>
    </row>
    <row r="60" spans="1:1" ht="15" customHeight="1" x14ac:dyDescent="0.25">
      <c r="A60" s="268"/>
    </row>
    <row r="62" spans="1:1" ht="15" customHeight="1" x14ac:dyDescent="0.25">
      <c r="A62" s="265" t="s">
        <v>133</v>
      </c>
    </row>
    <row r="63" spans="1:1" ht="15" customHeight="1" x14ac:dyDescent="0.25">
      <c r="A63" s="265"/>
    </row>
    <row r="64" spans="1:1" ht="15" customHeight="1" x14ac:dyDescent="0.25">
      <c r="A64" s="266"/>
    </row>
  </sheetData>
  <sheetProtection sheet="1" scenarios="1" formatCells="0" formatColumns="0" formatRows="0" insertColumns="0" insertRows="0"/>
  <mergeCells count="12">
    <mergeCell ref="A62:A64"/>
    <mergeCell ref="A4:A6"/>
    <mergeCell ref="A55:A56"/>
    <mergeCell ref="A41:A44"/>
    <mergeCell ref="A46:A48"/>
    <mergeCell ref="A50:A53"/>
    <mergeCell ref="A13:A14"/>
    <mergeCell ref="A16:A18"/>
    <mergeCell ref="A22:A23"/>
    <mergeCell ref="A25:A28"/>
    <mergeCell ref="A32:A33"/>
    <mergeCell ref="A58:A60"/>
  </mergeCells>
  <phoneticPr fontId="23" type="noConversion"/>
  <printOptions horizontalCentered="1"/>
  <pageMargins left="0.36" right="0.36" top="0.71" bottom="1.07" header="0.28999999999999998" footer="0.5"/>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X94"/>
  <sheetViews>
    <sheetView topLeftCell="G46" zoomScale="90" zoomScaleNormal="90" workbookViewId="0">
      <selection activeCell="O70" sqref="O70"/>
    </sheetView>
  </sheetViews>
  <sheetFormatPr defaultColWidth="9" defaultRowHeight="15" customHeight="1" x14ac:dyDescent="0.25"/>
  <cols>
    <col min="1" max="1" width="9" style="126"/>
    <col min="2" max="2" width="12.85546875" customWidth="1"/>
    <col min="3" max="3" width="34.42578125" customWidth="1"/>
    <col min="4" max="4" width="13.42578125" customWidth="1"/>
    <col min="5" max="6" width="13.140625" customWidth="1"/>
    <col min="7" max="12" width="13.5703125" customWidth="1"/>
    <col min="13" max="20" width="13.5703125" style="126" customWidth="1"/>
    <col min="21" max="22" width="7.7109375" bestFit="1" customWidth="1"/>
    <col min="23" max="23" width="53.85546875" customWidth="1"/>
    <col min="24" max="24" width="28.28515625" customWidth="1"/>
  </cols>
  <sheetData>
    <row r="1" spans="1:24" ht="18.75" customHeight="1" x14ac:dyDescent="0.25">
      <c r="B1" s="25" t="s">
        <v>324</v>
      </c>
      <c r="C1" s="15"/>
      <c r="J1" s="39"/>
      <c r="K1" s="39"/>
      <c r="L1" s="39"/>
      <c r="M1" s="39"/>
      <c r="N1" s="39"/>
      <c r="O1" s="39"/>
      <c r="P1" s="39"/>
      <c r="Q1" s="39"/>
      <c r="R1" s="39"/>
      <c r="S1" s="39"/>
      <c r="T1" s="39"/>
      <c r="U1" s="269" t="s">
        <v>192</v>
      </c>
      <c r="V1" s="269"/>
      <c r="W1" s="45"/>
    </row>
    <row r="2" spans="1:24" s="20" customFormat="1" ht="17.25" hidden="1" customHeight="1" x14ac:dyDescent="0.25">
      <c r="B2" s="26" t="s">
        <v>62</v>
      </c>
      <c r="C2" s="26"/>
      <c r="D2" s="24">
        <v>2005</v>
      </c>
      <c r="E2" s="20">
        <v>2006</v>
      </c>
      <c r="F2" s="20">
        <v>2007</v>
      </c>
      <c r="G2" s="20">
        <v>2008</v>
      </c>
      <c r="H2" s="20">
        <v>2009</v>
      </c>
      <c r="I2" s="20">
        <v>2010</v>
      </c>
      <c r="J2" s="20">
        <v>2011</v>
      </c>
      <c r="K2" s="20">
        <v>2012</v>
      </c>
      <c r="U2" s="1">
        <v>2010</v>
      </c>
      <c r="V2" s="1">
        <v>2011</v>
      </c>
      <c r="W2" s="73"/>
    </row>
    <row r="3" spans="1:24" s="20" customFormat="1" ht="17.25" customHeight="1" x14ac:dyDescent="0.25">
      <c r="B3" s="26" t="s">
        <v>242</v>
      </c>
      <c r="C3" s="26"/>
      <c r="D3" s="24">
        <v>2004</v>
      </c>
      <c r="E3" s="24">
        <v>2005</v>
      </c>
      <c r="F3" s="24">
        <v>2006</v>
      </c>
      <c r="G3" s="24">
        <v>2007</v>
      </c>
      <c r="H3" s="24">
        <v>2008</v>
      </c>
      <c r="I3" s="24">
        <v>2009</v>
      </c>
      <c r="J3" s="24">
        <v>2010</v>
      </c>
      <c r="K3" s="24">
        <v>2011</v>
      </c>
      <c r="L3" s="24">
        <v>2012</v>
      </c>
      <c r="M3" s="24">
        <v>2013</v>
      </c>
      <c r="N3" s="24">
        <v>2014</v>
      </c>
      <c r="O3" s="24">
        <v>2015</v>
      </c>
      <c r="P3" s="24">
        <v>2016</v>
      </c>
      <c r="Q3" s="24">
        <v>2017</v>
      </c>
      <c r="R3" s="24">
        <v>2018</v>
      </c>
      <c r="S3" s="24">
        <v>2019</v>
      </c>
      <c r="T3" s="24">
        <v>2020</v>
      </c>
      <c r="U3" s="41">
        <v>2019</v>
      </c>
      <c r="V3" s="41">
        <v>2020</v>
      </c>
      <c r="W3" s="74"/>
    </row>
    <row r="4" spans="1:24" ht="15" customHeight="1" x14ac:dyDescent="0.25">
      <c r="B4" s="12" t="s">
        <v>150</v>
      </c>
      <c r="E4" s="27"/>
      <c r="G4" s="28"/>
    </row>
    <row r="5" spans="1:24" ht="15" customHeight="1" x14ac:dyDescent="0.25">
      <c r="B5" s="11" t="s">
        <v>199</v>
      </c>
      <c r="H5" s="29"/>
      <c r="I5" s="29"/>
      <c r="J5" s="29"/>
      <c r="K5" s="29"/>
      <c r="L5" s="29"/>
      <c r="M5" s="29"/>
      <c r="N5" s="29"/>
      <c r="O5" s="29"/>
      <c r="P5" s="29"/>
      <c r="Q5" s="29"/>
      <c r="R5" s="29"/>
      <c r="S5" s="29"/>
      <c r="T5" s="29"/>
      <c r="W5" t="s">
        <v>256</v>
      </c>
    </row>
    <row r="6" spans="1:24" ht="15" customHeight="1" x14ac:dyDescent="0.25">
      <c r="A6" s="126">
        <v>1</v>
      </c>
      <c r="C6" s="15" t="s">
        <v>214</v>
      </c>
      <c r="D6" s="46"/>
      <c r="E6" s="46">
        <v>9717586</v>
      </c>
      <c r="F6" s="46">
        <v>10450184</v>
      </c>
      <c r="G6" s="46">
        <v>11325400</v>
      </c>
      <c r="H6" s="46">
        <v>9910428</v>
      </c>
      <c r="I6" s="46">
        <v>10175382</v>
      </c>
      <c r="J6" s="46">
        <v>10177582</v>
      </c>
      <c r="K6" s="104">
        <v>10092615</v>
      </c>
      <c r="L6" s="104">
        <v>9660447</v>
      </c>
      <c r="M6" s="104">
        <v>9986552</v>
      </c>
      <c r="N6" s="104">
        <v>9671671</v>
      </c>
      <c r="O6" s="104">
        <v>9922262</v>
      </c>
      <c r="P6" s="104">
        <v>10044372</v>
      </c>
      <c r="Q6" s="104">
        <v>10215215</v>
      </c>
      <c r="R6" s="104">
        <v>11140385</v>
      </c>
      <c r="S6" s="104">
        <v>11552063</v>
      </c>
      <c r="T6" s="104">
        <v>11967619</v>
      </c>
      <c r="U6" s="66">
        <f>ROUND(S6/$S$80,2)</f>
        <v>236.28</v>
      </c>
      <c r="V6" s="66">
        <f>ROUND(T6/$T$80,2)</f>
        <v>242.94</v>
      </c>
      <c r="W6" s="15" t="s">
        <v>214</v>
      </c>
    </row>
    <row r="7" spans="1:24" ht="15" customHeight="1" x14ac:dyDescent="0.25">
      <c r="B7" s="15"/>
      <c r="C7" s="15" t="s">
        <v>178</v>
      </c>
      <c r="D7" s="46"/>
      <c r="E7" s="46">
        <v>40632</v>
      </c>
      <c r="F7" s="46">
        <v>34580</v>
      </c>
      <c r="G7" s="46">
        <v>36048</v>
      </c>
      <c r="H7" s="46">
        <v>30094</v>
      </c>
      <c r="I7" s="46">
        <v>38476</v>
      </c>
      <c r="J7" s="46">
        <v>42193</v>
      </c>
      <c r="K7" s="104">
        <v>40177</v>
      </c>
      <c r="L7" s="104">
        <v>40229</v>
      </c>
      <c r="M7" s="104">
        <v>57746</v>
      </c>
      <c r="N7" s="104">
        <v>53972</v>
      </c>
      <c r="O7" s="104">
        <v>51836</v>
      </c>
      <c r="P7" s="104">
        <v>67918</v>
      </c>
      <c r="Q7" s="104">
        <v>53734</v>
      </c>
      <c r="R7" s="104">
        <v>61295</v>
      </c>
      <c r="S7" s="104">
        <v>67081</v>
      </c>
      <c r="T7" s="104">
        <v>71716</v>
      </c>
      <c r="U7" s="66">
        <f t="shared" ref="U7:U14" si="0">ROUND(S7/$S$80,2)</f>
        <v>1.37</v>
      </c>
      <c r="V7" s="66">
        <f t="shared" ref="V7:V14" si="1">ROUND(T7/$T$80,2)</f>
        <v>1.46</v>
      </c>
      <c r="W7" s="15" t="s">
        <v>178</v>
      </c>
      <c r="X7" s="63"/>
    </row>
    <row r="8" spans="1:24" ht="15" customHeight="1" x14ac:dyDescent="0.25">
      <c r="B8" s="15"/>
      <c r="C8" s="15" t="s">
        <v>53</v>
      </c>
      <c r="D8" s="46"/>
      <c r="E8" s="46">
        <v>927770</v>
      </c>
      <c r="F8" s="46">
        <v>871968</v>
      </c>
      <c r="G8" s="46">
        <v>865016</v>
      </c>
      <c r="H8" s="46">
        <v>948755</v>
      </c>
      <c r="I8" s="46">
        <v>1203705</v>
      </c>
      <c r="J8" s="46">
        <v>1650557</v>
      </c>
      <c r="K8" s="104">
        <v>1741227</v>
      </c>
      <c r="L8" s="104">
        <v>1720021</v>
      </c>
      <c r="M8" s="104">
        <v>1398084</v>
      </c>
      <c r="N8" s="104">
        <v>1455477</v>
      </c>
      <c r="O8" s="104">
        <v>1335315</v>
      </c>
      <c r="P8" s="104">
        <v>1352622</v>
      </c>
      <c r="Q8" s="104">
        <v>1353081</v>
      </c>
      <c r="R8" s="104">
        <v>1678709</v>
      </c>
      <c r="S8" s="104">
        <v>1221320</v>
      </c>
      <c r="T8" s="104">
        <v>2515416</v>
      </c>
      <c r="U8" s="66">
        <f t="shared" si="0"/>
        <v>24.98</v>
      </c>
      <c r="V8" s="66">
        <f t="shared" si="1"/>
        <v>51.06</v>
      </c>
      <c r="W8" s="15" t="s">
        <v>53</v>
      </c>
      <c r="X8" s="63"/>
    </row>
    <row r="9" spans="1:24" ht="15" customHeight="1" x14ac:dyDescent="0.25">
      <c r="B9" s="15"/>
      <c r="C9" s="15" t="s">
        <v>200</v>
      </c>
      <c r="D9" s="46"/>
      <c r="E9" s="46">
        <v>2470977</v>
      </c>
      <c r="F9" s="46">
        <v>2587549</v>
      </c>
      <c r="G9" s="46">
        <v>2205343</v>
      </c>
      <c r="H9" s="46">
        <v>3100849</v>
      </c>
      <c r="I9" s="46">
        <v>1978896</v>
      </c>
      <c r="J9" s="46">
        <v>1874856</v>
      </c>
      <c r="K9" s="104">
        <v>2298524</v>
      </c>
      <c r="L9" s="104">
        <v>2535463</v>
      </c>
      <c r="M9" s="104">
        <v>2563351</v>
      </c>
      <c r="N9" s="104">
        <v>2569863</v>
      </c>
      <c r="O9" s="104">
        <v>2721599</v>
      </c>
      <c r="P9" s="104">
        <v>2893897</v>
      </c>
      <c r="Q9" s="104">
        <v>2756774</v>
      </c>
      <c r="R9" s="104">
        <v>3066149</v>
      </c>
      <c r="S9" s="104">
        <v>3372912</v>
      </c>
      <c r="T9" s="104">
        <v>2900479</v>
      </c>
      <c r="U9" s="66">
        <f t="shared" si="0"/>
        <v>68.989999999999995</v>
      </c>
      <c r="V9" s="66">
        <f t="shared" si="1"/>
        <v>58.88</v>
      </c>
      <c r="W9" s="15" t="s">
        <v>200</v>
      </c>
      <c r="X9" s="63"/>
    </row>
    <row r="10" spans="1:24" ht="15" customHeight="1" x14ac:dyDescent="0.25">
      <c r="B10" s="15"/>
      <c r="C10" s="15" t="s">
        <v>1</v>
      </c>
      <c r="D10" s="46"/>
      <c r="E10" s="46">
        <v>1153425</v>
      </c>
      <c r="F10" s="46">
        <v>527502</v>
      </c>
      <c r="G10" s="46">
        <v>417079</v>
      </c>
      <c r="H10" s="46">
        <v>451666</v>
      </c>
      <c r="I10" s="46">
        <v>352637</v>
      </c>
      <c r="J10" s="46">
        <v>358535</v>
      </c>
      <c r="K10" s="104">
        <v>473408</v>
      </c>
      <c r="L10" s="104">
        <v>347629</v>
      </c>
      <c r="M10" s="104">
        <v>391799</v>
      </c>
      <c r="N10" s="104">
        <v>504994</v>
      </c>
      <c r="O10" s="104">
        <v>322784</v>
      </c>
      <c r="P10" s="104">
        <v>315957</v>
      </c>
      <c r="Q10" s="104">
        <v>302933</v>
      </c>
      <c r="R10" s="104">
        <v>532080</v>
      </c>
      <c r="S10" s="104">
        <v>329883</v>
      </c>
      <c r="T10" s="104">
        <v>325377</v>
      </c>
      <c r="U10" s="66">
        <f t="shared" si="0"/>
        <v>6.75</v>
      </c>
      <c r="V10" s="66">
        <f t="shared" si="1"/>
        <v>6.61</v>
      </c>
      <c r="W10" s="15" t="s">
        <v>1</v>
      </c>
      <c r="X10" s="63"/>
    </row>
    <row r="11" spans="1:24" ht="15" customHeight="1" x14ac:dyDescent="0.25">
      <c r="B11" s="15"/>
      <c r="C11" s="15" t="s">
        <v>159</v>
      </c>
      <c r="D11" s="46"/>
      <c r="E11" s="46">
        <v>4415814</v>
      </c>
      <c r="F11" s="46">
        <v>5345296</v>
      </c>
      <c r="G11" s="46">
        <v>5427432</v>
      </c>
      <c r="H11" s="46">
        <v>5732929</v>
      </c>
      <c r="I11" s="46">
        <v>5600628</v>
      </c>
      <c r="J11" s="46">
        <v>5621753</v>
      </c>
      <c r="K11" s="62">
        <v>7088057</v>
      </c>
      <c r="L11" s="62">
        <v>7443639</v>
      </c>
      <c r="M11" s="62">
        <v>7614497</v>
      </c>
      <c r="N11" s="62">
        <v>7363387</v>
      </c>
      <c r="O11" s="62">
        <v>7513692</v>
      </c>
      <c r="P11" s="62">
        <v>7301115</v>
      </c>
      <c r="Q11" s="62">
        <v>7641327</v>
      </c>
      <c r="R11" s="62">
        <v>8304434</v>
      </c>
      <c r="S11" s="62">
        <v>8828770</v>
      </c>
      <c r="T11" s="62">
        <v>9460713</v>
      </c>
      <c r="U11" s="66">
        <f t="shared" si="0"/>
        <v>180.58</v>
      </c>
      <c r="V11" s="66">
        <f t="shared" si="1"/>
        <v>192.05</v>
      </c>
      <c r="W11" s="15" t="s">
        <v>159</v>
      </c>
      <c r="X11" s="40" t="s">
        <v>244</v>
      </c>
    </row>
    <row r="12" spans="1:24" ht="15" customHeight="1" x14ac:dyDescent="0.25">
      <c r="B12" s="15"/>
      <c r="C12" s="15" t="s">
        <v>56</v>
      </c>
      <c r="D12" s="46"/>
      <c r="E12" s="46">
        <v>96381</v>
      </c>
      <c r="F12" s="46">
        <v>93385</v>
      </c>
      <c r="G12" s="46">
        <v>85825</v>
      </c>
      <c r="H12" s="46">
        <v>98761</v>
      </c>
      <c r="I12" s="46">
        <v>84049</v>
      </c>
      <c r="J12" s="46">
        <v>86520</v>
      </c>
      <c r="K12" s="62">
        <v>86856</v>
      </c>
      <c r="L12" s="62">
        <v>110490</v>
      </c>
      <c r="M12" s="62">
        <v>79342</v>
      </c>
      <c r="N12" s="62">
        <v>74875</v>
      </c>
      <c r="O12" s="62">
        <v>60329</v>
      </c>
      <c r="P12" s="62">
        <v>54686</v>
      </c>
      <c r="Q12" s="62">
        <v>59885</v>
      </c>
      <c r="R12" s="62">
        <v>61451</v>
      </c>
      <c r="S12" s="62">
        <v>39794</v>
      </c>
      <c r="T12" s="62">
        <v>35503</v>
      </c>
      <c r="U12" s="66">
        <f t="shared" si="0"/>
        <v>0.81</v>
      </c>
      <c r="V12" s="66">
        <f t="shared" si="1"/>
        <v>0.72</v>
      </c>
      <c r="W12" s="15" t="s">
        <v>56</v>
      </c>
      <c r="X12" s="40" t="s">
        <v>243</v>
      </c>
    </row>
    <row r="13" spans="1:24" ht="15" customHeight="1" x14ac:dyDescent="0.25">
      <c r="C13" s="15" t="s">
        <v>6</v>
      </c>
      <c r="D13" s="46"/>
      <c r="E13" s="46">
        <f>194837+152331</f>
        <v>347168</v>
      </c>
      <c r="F13" s="46">
        <v>664240</v>
      </c>
      <c r="G13" s="46">
        <v>654929</v>
      </c>
      <c r="H13" s="46">
        <v>438809</v>
      </c>
      <c r="I13" s="46">
        <v>267502</v>
      </c>
      <c r="J13" s="46">
        <v>328162</v>
      </c>
      <c r="K13" s="62">
        <v>208458</v>
      </c>
      <c r="L13" s="62">
        <v>173277</v>
      </c>
      <c r="M13" s="62">
        <v>91297</v>
      </c>
      <c r="N13" s="62">
        <v>197005</v>
      </c>
      <c r="O13" s="62">
        <v>196442</v>
      </c>
      <c r="P13" s="62">
        <v>187880</v>
      </c>
      <c r="Q13" s="62">
        <v>182249</v>
      </c>
      <c r="R13" s="62">
        <v>232257</v>
      </c>
      <c r="S13" s="62">
        <v>388462</v>
      </c>
      <c r="T13" s="62">
        <v>275114</v>
      </c>
      <c r="U13" s="66">
        <f t="shared" si="0"/>
        <v>7.95</v>
      </c>
      <c r="V13" s="66">
        <f t="shared" si="1"/>
        <v>5.58</v>
      </c>
      <c r="W13" s="15" t="s">
        <v>6</v>
      </c>
      <c r="X13" t="s">
        <v>245</v>
      </c>
    </row>
    <row r="14" spans="1:24" ht="15" customHeight="1" x14ac:dyDescent="0.25">
      <c r="C14" s="15" t="s">
        <v>143</v>
      </c>
      <c r="D14" s="46"/>
      <c r="E14" s="46">
        <f>324141+678299+257064+157684</f>
        <v>1417188</v>
      </c>
      <c r="F14" s="46">
        <f>561281+343596</f>
        <v>904877</v>
      </c>
      <c r="G14" s="46">
        <f>860354+470269</f>
        <v>1330623</v>
      </c>
      <c r="H14" s="46">
        <f>750387+592749</f>
        <v>1343136</v>
      </c>
      <c r="I14" s="46">
        <f>808295+377174</f>
        <v>1185469</v>
      </c>
      <c r="J14" s="46">
        <f>778062+322248</f>
        <v>1100310</v>
      </c>
      <c r="K14" s="62">
        <f>714323+353563</f>
        <v>1067886</v>
      </c>
      <c r="L14" s="62">
        <f>708285+199602</f>
        <v>907887</v>
      </c>
      <c r="M14" s="62">
        <f>870658+269980</f>
        <v>1140638</v>
      </c>
      <c r="N14" s="62">
        <f>241423+906647</f>
        <v>1148070</v>
      </c>
      <c r="O14" s="62">
        <f>1150900+219043</f>
        <v>1369943</v>
      </c>
      <c r="P14" s="62">
        <f>809077+408476</f>
        <v>1217553</v>
      </c>
      <c r="Q14" s="62">
        <f>914484+511175</f>
        <v>1425659</v>
      </c>
      <c r="R14" s="62">
        <f>831560+423941</f>
        <v>1255501</v>
      </c>
      <c r="S14" s="62">
        <f>807029+349746</f>
        <v>1156775</v>
      </c>
      <c r="T14" s="62">
        <f>1391989+441837</f>
        <v>1833826</v>
      </c>
      <c r="U14" s="66">
        <f t="shared" si="0"/>
        <v>23.66</v>
      </c>
      <c r="V14" s="66">
        <f t="shared" si="1"/>
        <v>37.229999999999997</v>
      </c>
      <c r="W14" s="15" t="s">
        <v>143</v>
      </c>
      <c r="X14" t="s">
        <v>246</v>
      </c>
    </row>
    <row r="15" spans="1:24" ht="15" customHeight="1" x14ac:dyDescent="0.25">
      <c r="C15" s="16" t="s">
        <v>9</v>
      </c>
      <c r="D15" s="137">
        <f t="shared" ref="D15:J15" si="2">SUM(D6:D14)</f>
        <v>0</v>
      </c>
      <c r="E15" s="47">
        <f t="shared" si="2"/>
        <v>20586941</v>
      </c>
      <c r="F15" s="47">
        <f t="shared" si="2"/>
        <v>21479581</v>
      </c>
      <c r="G15" s="47">
        <f t="shared" si="2"/>
        <v>22347695</v>
      </c>
      <c r="H15" s="47">
        <f t="shared" si="2"/>
        <v>22055427</v>
      </c>
      <c r="I15" s="47">
        <f t="shared" si="2"/>
        <v>20886744</v>
      </c>
      <c r="J15" s="47">
        <f t="shared" si="2"/>
        <v>21240468</v>
      </c>
      <c r="K15" s="65">
        <f t="shared" ref="K15:T15" si="3">SUM(K6:K14)</f>
        <v>23097208</v>
      </c>
      <c r="L15" s="65">
        <f t="shared" si="3"/>
        <v>22939082</v>
      </c>
      <c r="M15" s="65">
        <f t="shared" si="3"/>
        <v>23323306</v>
      </c>
      <c r="N15" s="65">
        <f t="shared" si="3"/>
        <v>23039314</v>
      </c>
      <c r="O15" s="65">
        <f t="shared" si="3"/>
        <v>23494202</v>
      </c>
      <c r="P15" s="65">
        <f t="shared" si="3"/>
        <v>23436000</v>
      </c>
      <c r="Q15" s="65">
        <f t="shared" si="3"/>
        <v>23990857</v>
      </c>
      <c r="R15" s="65">
        <f t="shared" si="3"/>
        <v>26332261</v>
      </c>
      <c r="S15" s="65">
        <f t="shared" si="3"/>
        <v>26957060</v>
      </c>
      <c r="T15" s="65">
        <f t="shared" si="3"/>
        <v>29385763</v>
      </c>
      <c r="U15" s="65">
        <f>ROUND(S15/$S$80,2)</f>
        <v>551.36</v>
      </c>
      <c r="V15" s="65">
        <f>ROUND(T15/$T$80,2)</f>
        <v>596.52</v>
      </c>
    </row>
    <row r="16" spans="1:24" ht="15" customHeight="1" x14ac:dyDescent="0.25">
      <c r="B16" s="11" t="s">
        <v>41</v>
      </c>
      <c r="U16" s="45"/>
      <c r="V16" s="45"/>
      <c r="W16" t="s">
        <v>256</v>
      </c>
    </row>
    <row r="17" spans="2:24" ht="15" customHeight="1" x14ac:dyDescent="0.25">
      <c r="C17" s="15" t="s">
        <v>121</v>
      </c>
      <c r="D17" s="42">
        <v>5906565</v>
      </c>
      <c r="E17" s="46">
        <f>258268+2985413+2908131</f>
        <v>6151812</v>
      </c>
      <c r="F17" s="46">
        <f>288819+3279341+3426057</f>
        <v>6994217</v>
      </c>
      <c r="G17" s="46">
        <f>309502+3372635+3637417</f>
        <v>7319554</v>
      </c>
      <c r="H17" s="46">
        <f>310395+3425222+3785409</f>
        <v>7521026</v>
      </c>
      <c r="I17" s="46">
        <f>311267+3534602+3930514</f>
        <v>7776383</v>
      </c>
      <c r="J17" s="46">
        <f>310979+3509711+3865156</f>
        <v>7685846</v>
      </c>
      <c r="K17" s="62">
        <f>314030+3528273+3782048</f>
        <v>7624351</v>
      </c>
      <c r="L17" s="62">
        <v>7565090</v>
      </c>
      <c r="M17" s="62">
        <f>324167+3475761+3884075</f>
        <v>7684003</v>
      </c>
      <c r="N17" s="62">
        <f>356665+3655887+3998584</f>
        <v>8011136</v>
      </c>
      <c r="O17" s="62">
        <f>328743+3578543+3955107</f>
        <v>7862393</v>
      </c>
      <c r="P17" s="62">
        <f>354062+3773914+3878366</f>
        <v>8006342</v>
      </c>
      <c r="Q17" s="62">
        <f>407722+3908383+4140924</f>
        <v>8457029</v>
      </c>
      <c r="R17" s="62">
        <f>354106+3926217+4117092</f>
        <v>8397415</v>
      </c>
      <c r="S17" s="62">
        <f>332337+4067403+5349600</f>
        <v>9749340</v>
      </c>
      <c r="T17" s="62">
        <f>341688+4410608+4602963</f>
        <v>9355259</v>
      </c>
      <c r="U17" s="66">
        <f>ROUND(S17/$S$80,2)</f>
        <v>199.41</v>
      </c>
      <c r="V17" s="66">
        <f>ROUND(T17/$T$80,2)</f>
        <v>189.91</v>
      </c>
      <c r="W17" s="15" t="s">
        <v>121</v>
      </c>
      <c r="X17" t="s">
        <v>247</v>
      </c>
    </row>
    <row r="18" spans="2:24" ht="15" customHeight="1" x14ac:dyDescent="0.25">
      <c r="C18" s="15" t="s">
        <v>248</v>
      </c>
      <c r="D18" s="42">
        <v>4976603</v>
      </c>
      <c r="E18" s="46">
        <v>2261508</v>
      </c>
      <c r="F18" s="46">
        <v>2629295</v>
      </c>
      <c r="G18" s="46">
        <v>2586758</v>
      </c>
      <c r="H18" s="46">
        <v>2604798</v>
      </c>
      <c r="I18" s="46">
        <v>2660262</v>
      </c>
      <c r="J18" s="46">
        <v>2840342</v>
      </c>
      <c r="K18" s="104">
        <v>3283537.0000000005</v>
      </c>
      <c r="L18" s="104">
        <v>3325155.3200000003</v>
      </c>
      <c r="M18" s="104">
        <v>3363291</v>
      </c>
      <c r="N18" s="104">
        <v>3425100</v>
      </c>
      <c r="O18" s="104">
        <v>3551295</v>
      </c>
      <c r="P18" s="104">
        <v>3356935</v>
      </c>
      <c r="Q18" s="104">
        <v>3175158</v>
      </c>
      <c r="R18" s="104">
        <v>3150487.56</v>
      </c>
      <c r="S18" s="104">
        <v>3265887</v>
      </c>
      <c r="T18" s="104">
        <v>3670971.6</v>
      </c>
      <c r="U18" s="66">
        <f t="shared" ref="U18:U28" si="4">ROUND(S18/$S$80,2)</f>
        <v>66.8</v>
      </c>
      <c r="V18" s="66">
        <f t="shared" ref="V18:V28" si="5">ROUND(T18/$T$80,2)</f>
        <v>74.52</v>
      </c>
      <c r="W18" s="15" t="s">
        <v>248</v>
      </c>
      <c r="X18" t="s">
        <v>258</v>
      </c>
    </row>
    <row r="19" spans="2:24" ht="15" customHeight="1" x14ac:dyDescent="0.25">
      <c r="C19" s="15" t="s">
        <v>99</v>
      </c>
      <c r="D19" s="42">
        <v>840908</v>
      </c>
      <c r="E19" s="46">
        <f>6139871-E18</f>
        <v>3878363</v>
      </c>
      <c r="F19" s="46">
        <f>3750205-F18</f>
        <v>1120910</v>
      </c>
      <c r="G19" s="46">
        <f>6538072-G18</f>
        <v>3951314</v>
      </c>
      <c r="H19" s="46">
        <f>6650774-H18</f>
        <v>4045976</v>
      </c>
      <c r="I19" s="46">
        <f>6726780-I18</f>
        <v>4066518</v>
      </c>
      <c r="J19" s="46">
        <f>7179826-J18</f>
        <v>4339484</v>
      </c>
      <c r="K19" s="104">
        <f>7999165-K18</f>
        <v>4715628</v>
      </c>
      <c r="L19" s="104">
        <v>4933434.68</v>
      </c>
      <c r="M19" s="104">
        <v>5191546</v>
      </c>
      <c r="N19" s="104">
        <v>5450719</v>
      </c>
      <c r="O19" s="104">
        <v>5117856</v>
      </c>
      <c r="P19" s="104">
        <v>5476537</v>
      </c>
      <c r="Q19" s="104">
        <v>5692653</v>
      </c>
      <c r="R19" s="104">
        <v>5946503.4399999995</v>
      </c>
      <c r="S19" s="104">
        <v>6068593</v>
      </c>
      <c r="T19" s="104">
        <v>6694884.8300000001</v>
      </c>
      <c r="U19" s="66">
        <f t="shared" si="4"/>
        <v>124.12</v>
      </c>
      <c r="V19" s="66">
        <f t="shared" si="5"/>
        <v>135.9</v>
      </c>
      <c r="W19" s="15" t="s">
        <v>99</v>
      </c>
      <c r="X19" t="s">
        <v>258</v>
      </c>
    </row>
    <row r="20" spans="2:24" ht="15" customHeight="1" x14ac:dyDescent="0.25">
      <c r="C20" s="15" t="s">
        <v>260</v>
      </c>
      <c r="D20" s="42">
        <v>426861</v>
      </c>
      <c r="E20" s="46">
        <v>175524</v>
      </c>
      <c r="F20" s="46">
        <v>150476</v>
      </c>
      <c r="G20" s="46">
        <v>195644</v>
      </c>
      <c r="H20" s="46">
        <v>35903</v>
      </c>
      <c r="I20" s="46">
        <v>30219</v>
      </c>
      <c r="J20" s="46">
        <v>39671</v>
      </c>
      <c r="K20" s="62">
        <v>36327</v>
      </c>
      <c r="L20" s="62">
        <v>38142</v>
      </c>
      <c r="M20" s="62">
        <v>46052</v>
      </c>
      <c r="N20" s="62">
        <v>49876</v>
      </c>
      <c r="O20" s="62">
        <v>58968</v>
      </c>
      <c r="P20" s="62">
        <v>70744</v>
      </c>
      <c r="Q20" s="62">
        <v>141694</v>
      </c>
      <c r="R20" s="62">
        <v>201266</v>
      </c>
      <c r="S20" s="62">
        <v>244853</v>
      </c>
      <c r="T20" s="62">
        <v>211564</v>
      </c>
      <c r="U20" s="66">
        <f t="shared" si="4"/>
        <v>5.01</v>
      </c>
      <c r="V20" s="66">
        <f t="shared" si="5"/>
        <v>4.29</v>
      </c>
      <c r="W20" s="15" t="s">
        <v>179</v>
      </c>
    </row>
    <row r="21" spans="2:24" ht="15" customHeight="1" x14ac:dyDescent="0.25">
      <c r="C21" s="15" t="s">
        <v>92</v>
      </c>
      <c r="D21" s="42">
        <v>5160149</v>
      </c>
      <c r="E21" s="46">
        <v>4193712</v>
      </c>
      <c r="F21" s="46">
        <v>7562423</v>
      </c>
      <c r="G21" s="46">
        <v>4639918</v>
      </c>
      <c r="H21" s="46">
        <v>5321749</v>
      </c>
      <c r="I21" s="46">
        <v>4679241</v>
      </c>
      <c r="J21" s="46">
        <v>4474444</v>
      </c>
      <c r="K21" s="62">
        <v>4378971</v>
      </c>
      <c r="L21" s="62">
        <v>3935320</v>
      </c>
      <c r="M21" s="62">
        <v>4126601</v>
      </c>
      <c r="N21" s="62">
        <v>4320490</v>
      </c>
      <c r="O21" s="62">
        <v>4245876</v>
      </c>
      <c r="P21" s="62">
        <v>4430737</v>
      </c>
      <c r="Q21" s="62">
        <v>4978189</v>
      </c>
      <c r="R21" s="62">
        <v>4980970</v>
      </c>
      <c r="S21" s="62">
        <v>4768966</v>
      </c>
      <c r="T21" s="62">
        <v>4579640</v>
      </c>
      <c r="U21" s="66">
        <f t="shared" si="4"/>
        <v>97.54</v>
      </c>
      <c r="V21" s="66">
        <f t="shared" si="5"/>
        <v>92.96</v>
      </c>
      <c r="W21" s="15" t="s">
        <v>92</v>
      </c>
    </row>
    <row r="22" spans="2:24" ht="15" customHeight="1" x14ac:dyDescent="0.25">
      <c r="C22" s="15" t="s">
        <v>35</v>
      </c>
      <c r="D22" s="42">
        <v>429701</v>
      </c>
      <c r="E22" s="46">
        <v>380869</v>
      </c>
      <c r="F22" s="46">
        <v>358887</v>
      </c>
      <c r="G22" s="46">
        <v>345092</v>
      </c>
      <c r="H22" s="46">
        <v>426419</v>
      </c>
      <c r="I22" s="46">
        <v>355423</v>
      </c>
      <c r="J22" s="46">
        <v>380204</v>
      </c>
      <c r="K22" s="62">
        <v>366727</v>
      </c>
      <c r="L22" s="62">
        <v>334663</v>
      </c>
      <c r="M22" s="62">
        <v>271277</v>
      </c>
      <c r="N22" s="62">
        <v>358882</v>
      </c>
      <c r="O22" s="62">
        <v>358858</v>
      </c>
      <c r="P22" s="62">
        <v>377664</v>
      </c>
      <c r="Q22" s="62">
        <v>305296</v>
      </c>
      <c r="R22" s="62">
        <v>139707</v>
      </c>
      <c r="S22" s="62">
        <v>217249</v>
      </c>
      <c r="T22" s="62">
        <v>205148</v>
      </c>
      <c r="U22" s="66">
        <f t="shared" si="4"/>
        <v>4.4400000000000004</v>
      </c>
      <c r="V22" s="66">
        <f t="shared" si="5"/>
        <v>4.16</v>
      </c>
      <c r="W22" s="15" t="s">
        <v>35</v>
      </c>
    </row>
    <row r="23" spans="2:24" ht="15" customHeight="1" x14ac:dyDescent="0.25">
      <c r="C23" s="15" t="s">
        <v>82</v>
      </c>
      <c r="D23" s="42">
        <v>243310</v>
      </c>
      <c r="E23" s="46">
        <v>253244</v>
      </c>
      <c r="F23" s="46">
        <v>253040</v>
      </c>
      <c r="G23" s="46">
        <v>370018</v>
      </c>
      <c r="H23" s="46">
        <v>348903</v>
      </c>
      <c r="I23" s="46">
        <v>350980</v>
      </c>
      <c r="J23" s="46">
        <v>360601</v>
      </c>
      <c r="K23" s="62">
        <v>398573</v>
      </c>
      <c r="L23" s="62">
        <v>454571</v>
      </c>
      <c r="M23" s="62">
        <v>418950</v>
      </c>
      <c r="N23" s="62">
        <v>483595</v>
      </c>
      <c r="O23" s="62">
        <v>551711</v>
      </c>
      <c r="P23" s="62">
        <v>558161</v>
      </c>
      <c r="Q23" s="62">
        <v>598253</v>
      </c>
      <c r="R23" s="62">
        <v>646723</v>
      </c>
      <c r="S23" s="62">
        <v>693917</v>
      </c>
      <c r="T23" s="62">
        <v>1357607</v>
      </c>
      <c r="U23" s="66">
        <f t="shared" si="4"/>
        <v>14.19</v>
      </c>
      <c r="V23" s="66">
        <f t="shared" si="5"/>
        <v>27.56</v>
      </c>
      <c r="W23" s="15" t="s">
        <v>82</v>
      </c>
    </row>
    <row r="24" spans="2:24" ht="15" customHeight="1" x14ac:dyDescent="0.25">
      <c r="C24" s="15" t="s">
        <v>80</v>
      </c>
      <c r="D24" s="42">
        <v>3739597</v>
      </c>
      <c r="E24" s="46">
        <v>1370382</v>
      </c>
      <c r="F24" s="46">
        <v>6106396</v>
      </c>
      <c r="G24" s="46">
        <v>5376980</v>
      </c>
      <c r="H24" s="46">
        <v>1311234</v>
      </c>
      <c r="I24" s="46">
        <v>183683</v>
      </c>
      <c r="J24" s="46">
        <v>5646203</v>
      </c>
      <c r="K24" s="62">
        <v>1086706</v>
      </c>
      <c r="L24" s="62">
        <v>342359</v>
      </c>
      <c r="M24" s="62">
        <v>452088</v>
      </c>
      <c r="N24" s="62">
        <v>239970</v>
      </c>
      <c r="O24" s="62">
        <v>474959</v>
      </c>
      <c r="P24" s="62">
        <v>805364</v>
      </c>
      <c r="Q24" s="62">
        <v>167403</v>
      </c>
      <c r="R24" s="62">
        <v>298534</v>
      </c>
      <c r="S24" s="62">
        <v>194016</v>
      </c>
      <c r="T24" s="62">
        <v>129557</v>
      </c>
      <c r="U24" s="66">
        <f t="shared" si="4"/>
        <v>3.97</v>
      </c>
      <c r="V24" s="66">
        <f t="shared" si="5"/>
        <v>2.63</v>
      </c>
      <c r="W24" s="15" t="s">
        <v>80</v>
      </c>
    </row>
    <row r="25" spans="2:24" ht="15" customHeight="1" x14ac:dyDescent="0.25">
      <c r="C25" s="15" t="s">
        <v>186</v>
      </c>
      <c r="D25" s="42">
        <v>1264528</v>
      </c>
      <c r="E25" s="46">
        <f>590000+400445</f>
        <v>990445</v>
      </c>
      <c r="F25" s="46">
        <f>230000+261776</f>
        <v>491776</v>
      </c>
      <c r="G25" s="46">
        <f>445000+488031</f>
        <v>933031</v>
      </c>
      <c r="H25" s="46">
        <f>480000+475287</f>
        <v>955287</v>
      </c>
      <c r="I25" s="46">
        <f>545000+455854</f>
        <v>1000854</v>
      </c>
      <c r="J25" s="46">
        <f>615000+565697+135250</f>
        <v>1315947</v>
      </c>
      <c r="K25" s="62">
        <f>870000+655944</f>
        <v>1525944</v>
      </c>
      <c r="L25" s="62">
        <f>680000+625999</f>
        <v>1305999</v>
      </c>
      <c r="M25" s="62">
        <f>910000+478780+47601</f>
        <v>1436381</v>
      </c>
      <c r="N25" s="62">
        <f>1150000+375066</f>
        <v>1525066</v>
      </c>
      <c r="O25" s="62">
        <f>1150000+325692+42021</f>
        <v>1517713</v>
      </c>
      <c r="P25" s="62">
        <f>986000+310252</f>
        <v>1296252</v>
      </c>
      <c r="Q25" s="62">
        <f>286666+1015000</f>
        <v>1301666</v>
      </c>
      <c r="R25" s="62">
        <f>1044000+266266</f>
        <v>1310266</v>
      </c>
      <c r="S25" s="62">
        <f>1079000+242591</f>
        <v>1321591</v>
      </c>
      <c r="T25" s="62">
        <f>1103000+211385</f>
        <v>1314385</v>
      </c>
      <c r="U25" s="66">
        <f t="shared" si="4"/>
        <v>27.03</v>
      </c>
      <c r="V25" s="66">
        <f t="shared" si="5"/>
        <v>26.68</v>
      </c>
      <c r="W25" s="15" t="s">
        <v>186</v>
      </c>
      <c r="X25" t="s">
        <v>259</v>
      </c>
    </row>
    <row r="26" spans="2:24" ht="15" customHeight="1" x14ac:dyDescent="0.25">
      <c r="C26" s="15" t="s">
        <v>32</v>
      </c>
      <c r="D26" s="42">
        <v>203337</v>
      </c>
      <c r="E26" s="46">
        <v>305382</v>
      </c>
      <c r="F26" s="46">
        <v>161999</v>
      </c>
      <c r="G26" s="46">
        <v>42761</v>
      </c>
      <c r="H26" s="46">
        <v>14801</v>
      </c>
      <c r="I26" s="46">
        <v>40180</v>
      </c>
      <c r="J26" s="46">
        <v>48123</v>
      </c>
      <c r="K26" s="62">
        <v>292706</v>
      </c>
      <c r="L26" s="62">
        <v>211017</v>
      </c>
      <c r="M26" s="62">
        <v>213269</v>
      </c>
      <c r="N26" s="62">
        <v>161276</v>
      </c>
      <c r="O26" s="156">
        <v>242738</v>
      </c>
      <c r="P26" s="156">
        <v>143690</v>
      </c>
      <c r="Q26" s="156">
        <v>46249</v>
      </c>
      <c r="R26" s="62">
        <v>186201</v>
      </c>
      <c r="S26" s="62">
        <v>123044</v>
      </c>
      <c r="T26" s="62">
        <v>111563</v>
      </c>
      <c r="U26" s="66">
        <f t="shared" si="4"/>
        <v>2.52</v>
      </c>
      <c r="V26" s="66">
        <f t="shared" si="5"/>
        <v>2.2599999999999998</v>
      </c>
      <c r="W26" s="15" t="s">
        <v>257</v>
      </c>
    </row>
    <row r="27" spans="2:24" ht="15" customHeight="1" x14ac:dyDescent="0.25">
      <c r="C27" s="3" t="s">
        <v>12</v>
      </c>
      <c r="D27" s="137">
        <f t="shared" ref="D27:J27" si="6">SUM(D17:D26)</f>
        <v>23191559</v>
      </c>
      <c r="E27" s="47">
        <f t="shared" si="6"/>
        <v>19961241</v>
      </c>
      <c r="F27" s="47">
        <f t="shared" si="6"/>
        <v>25829419</v>
      </c>
      <c r="G27" s="47">
        <f t="shared" si="6"/>
        <v>25761070</v>
      </c>
      <c r="H27" s="47">
        <f t="shared" si="6"/>
        <v>22586096</v>
      </c>
      <c r="I27" s="47">
        <f t="shared" si="6"/>
        <v>21143743</v>
      </c>
      <c r="J27" s="47">
        <f t="shared" si="6"/>
        <v>27130865</v>
      </c>
      <c r="K27" s="65">
        <f t="shared" ref="K27:P27" si="7">SUM(K17:K26)</f>
        <v>23709470</v>
      </c>
      <c r="L27" s="65">
        <f t="shared" si="7"/>
        <v>22445751</v>
      </c>
      <c r="M27" s="65">
        <f t="shared" si="7"/>
        <v>23203458</v>
      </c>
      <c r="N27" s="65">
        <f t="shared" si="7"/>
        <v>24026110</v>
      </c>
      <c r="O27" s="65">
        <f t="shared" si="7"/>
        <v>23982367</v>
      </c>
      <c r="P27" s="65">
        <f t="shared" si="7"/>
        <v>24522426</v>
      </c>
      <c r="Q27" s="65">
        <f>SUM(Q17:Q26)</f>
        <v>24863590</v>
      </c>
      <c r="R27" s="65">
        <f>SUM(R17:R26)</f>
        <v>25258073</v>
      </c>
      <c r="S27" s="65">
        <f>SUM(S17:S26)</f>
        <v>26647456</v>
      </c>
      <c r="T27" s="65">
        <f>SUM(T17:T26)</f>
        <v>27630579.43</v>
      </c>
      <c r="U27" s="65">
        <f t="shared" si="4"/>
        <v>545.03</v>
      </c>
      <c r="V27" s="65">
        <f t="shared" si="5"/>
        <v>560.89</v>
      </c>
    </row>
    <row r="28" spans="2:24" ht="15.75" customHeight="1" thickBot="1" x14ac:dyDescent="0.3">
      <c r="C28" t="s">
        <v>174</v>
      </c>
      <c r="D28" s="5">
        <f t="shared" ref="D28:J28" si="8">+D15-D27</f>
        <v>-23191559</v>
      </c>
      <c r="E28" s="5">
        <f t="shared" si="8"/>
        <v>625700</v>
      </c>
      <c r="F28" s="5">
        <f t="shared" si="8"/>
        <v>-4349838</v>
      </c>
      <c r="G28" s="5">
        <f t="shared" si="8"/>
        <v>-3413375</v>
      </c>
      <c r="H28" s="5">
        <f t="shared" si="8"/>
        <v>-530669</v>
      </c>
      <c r="I28" s="5">
        <f t="shared" si="8"/>
        <v>-256999</v>
      </c>
      <c r="J28" s="5">
        <f t="shared" si="8"/>
        <v>-5890397</v>
      </c>
      <c r="K28" s="64">
        <f t="shared" ref="K28:P28" si="9">+K15-K27</f>
        <v>-612262</v>
      </c>
      <c r="L28" s="64">
        <f t="shared" si="9"/>
        <v>493331</v>
      </c>
      <c r="M28" s="64">
        <f t="shared" si="9"/>
        <v>119848</v>
      </c>
      <c r="N28" s="64">
        <f t="shared" si="9"/>
        <v>-986796</v>
      </c>
      <c r="O28" s="64">
        <f t="shared" si="9"/>
        <v>-488165</v>
      </c>
      <c r="P28" s="64">
        <f t="shared" si="9"/>
        <v>-1086426</v>
      </c>
      <c r="Q28" s="64">
        <f t="shared" ref="Q28:R28" si="10">+Q15-Q27</f>
        <v>-872733</v>
      </c>
      <c r="R28" s="64">
        <f t="shared" si="10"/>
        <v>1074188</v>
      </c>
      <c r="S28" s="64">
        <f t="shared" ref="S28" si="11">+S15-S27</f>
        <v>309604</v>
      </c>
      <c r="T28" s="64">
        <f>+T15-T27</f>
        <v>1755183.5700000003</v>
      </c>
      <c r="U28" s="64">
        <f t="shared" si="4"/>
        <v>6.33</v>
      </c>
      <c r="V28" s="64">
        <f t="shared" si="5"/>
        <v>35.630000000000003</v>
      </c>
    </row>
    <row r="29" spans="2:24" ht="15.75" customHeight="1" thickTop="1" x14ac:dyDescent="0.25">
      <c r="B29" s="48" t="s">
        <v>251</v>
      </c>
      <c r="W29" s="126"/>
      <c r="X29" s="52"/>
    </row>
    <row r="30" spans="2:24" ht="15.75" customHeight="1" x14ac:dyDescent="0.25">
      <c r="B30" t="s">
        <v>263</v>
      </c>
      <c r="I30">
        <v>3500</v>
      </c>
      <c r="K30" s="61"/>
      <c r="L30" s="61">
        <v>14071</v>
      </c>
      <c r="M30" s="61">
        <v>774</v>
      </c>
      <c r="N30" s="61"/>
      <c r="O30" s="61"/>
      <c r="P30" s="61"/>
      <c r="Q30" s="61">
        <v>400</v>
      </c>
      <c r="R30" s="61"/>
      <c r="S30" s="61"/>
      <c r="T30" s="61">
        <v>500</v>
      </c>
      <c r="W30" s="126"/>
    </row>
    <row r="31" spans="2:24" ht="15.75" customHeight="1" x14ac:dyDescent="0.25">
      <c r="C31" s="39" t="s">
        <v>252</v>
      </c>
      <c r="E31">
        <v>490000</v>
      </c>
      <c r="F31">
        <v>10300000</v>
      </c>
      <c r="J31">
        <f>6500000+15976</f>
        <v>6515976</v>
      </c>
      <c r="K31" s="61"/>
      <c r="L31" s="61"/>
      <c r="M31" s="61">
        <v>6930000</v>
      </c>
      <c r="N31" s="61"/>
      <c r="O31" s="61">
        <v>1117000</v>
      </c>
      <c r="P31" s="61"/>
      <c r="Q31" s="61"/>
      <c r="R31" s="61"/>
      <c r="S31" s="61"/>
      <c r="T31" s="61">
        <v>0</v>
      </c>
      <c r="U31" s="45"/>
      <c r="V31" s="45"/>
    </row>
    <row r="32" spans="2:24" ht="15.75" customHeight="1" x14ac:dyDescent="0.25">
      <c r="C32" t="s">
        <v>253</v>
      </c>
      <c r="E32">
        <v>6616438</v>
      </c>
      <c r="F32">
        <v>5388522</v>
      </c>
      <c r="G32">
        <v>6616894</v>
      </c>
      <c r="H32">
        <v>5592612</v>
      </c>
      <c r="I32">
        <v>5698931</v>
      </c>
      <c r="J32">
        <v>5418822</v>
      </c>
      <c r="K32" s="61">
        <v>5916033</v>
      </c>
      <c r="L32" s="61">
        <v>4303714</v>
      </c>
      <c r="M32" s="61">
        <v>4036229</v>
      </c>
      <c r="N32" s="61">
        <v>5132108</v>
      </c>
      <c r="O32" s="61">
        <v>5417611</v>
      </c>
      <c r="P32" s="61">
        <v>5154911</v>
      </c>
      <c r="Q32" s="61">
        <v>5007874</v>
      </c>
      <c r="R32" s="61">
        <v>4840761</v>
      </c>
      <c r="S32" s="61">
        <v>5988868</v>
      </c>
      <c r="T32" s="61">
        <v>4914645</v>
      </c>
      <c r="U32" s="45"/>
      <c r="V32" s="45"/>
    </row>
    <row r="33" spans="2:23" ht="15.75" customHeight="1" x14ac:dyDescent="0.25">
      <c r="C33" t="s">
        <v>254</v>
      </c>
      <c r="E33" s="126">
        <v>-6379475</v>
      </c>
      <c r="F33" s="126">
        <v>-5099340</v>
      </c>
      <c r="G33" s="126">
        <v>-5868318</v>
      </c>
      <c r="H33" s="126">
        <v>-5429566</v>
      </c>
      <c r="I33" s="126">
        <v>-5472748</v>
      </c>
      <c r="J33" s="126">
        <v>-5280132</v>
      </c>
      <c r="K33" s="61">
        <v>-5606445</v>
      </c>
      <c r="L33" s="61">
        <v>-3860011</v>
      </c>
      <c r="M33" s="61">
        <v>-3613728</v>
      </c>
      <c r="N33" s="61">
        <v>-4085199</v>
      </c>
      <c r="O33" s="61">
        <v>-4657672</v>
      </c>
      <c r="P33" s="61">
        <v>-4116463</v>
      </c>
      <c r="Q33" s="61">
        <v>-4483914</v>
      </c>
      <c r="R33" s="61">
        <v>-4304315</v>
      </c>
      <c r="S33" s="61">
        <v>-4814823</v>
      </c>
      <c r="T33" s="61">
        <v>-4626555</v>
      </c>
      <c r="U33" s="45"/>
      <c r="V33" s="45"/>
    </row>
    <row r="34" spans="2:23" s="126" customFormat="1" ht="15.75" customHeight="1" x14ac:dyDescent="0.25">
      <c r="C34" s="126" t="s">
        <v>331</v>
      </c>
      <c r="K34" s="61"/>
      <c r="L34" s="61"/>
      <c r="M34" s="61"/>
      <c r="N34" s="61"/>
      <c r="O34" s="61"/>
      <c r="P34" s="161">
        <v>-119131</v>
      </c>
      <c r="Q34" s="161"/>
      <c r="R34" s="161"/>
      <c r="S34" s="161"/>
      <c r="T34" s="263">
        <v>0</v>
      </c>
      <c r="U34" s="45"/>
      <c r="V34" s="45"/>
    </row>
    <row r="35" spans="2:23" s="126" customFormat="1" ht="15.75" customHeight="1" x14ac:dyDescent="0.25">
      <c r="C35" s="39" t="s">
        <v>325</v>
      </c>
      <c r="E35" s="49"/>
      <c r="F35" s="49"/>
      <c r="G35" s="49"/>
      <c r="H35" s="49"/>
      <c r="I35" s="49"/>
      <c r="J35" s="49"/>
      <c r="K35" s="75"/>
      <c r="L35" s="75"/>
      <c r="M35" s="75">
        <v>-7018399</v>
      </c>
      <c r="N35" s="75"/>
      <c r="O35" s="155">
        <v>-1100779</v>
      </c>
      <c r="P35" s="155"/>
      <c r="Q35" s="155"/>
      <c r="R35" s="155"/>
      <c r="S35" s="260"/>
      <c r="T35" s="260">
        <v>0</v>
      </c>
      <c r="U35" s="111"/>
      <c r="V35" s="111"/>
    </row>
    <row r="36" spans="2:23" ht="15.75" customHeight="1" x14ac:dyDescent="0.25">
      <c r="E36" s="4">
        <f t="shared" ref="E36:H36" si="12">SUM(E30:E33)</f>
        <v>726963</v>
      </c>
      <c r="F36" s="4">
        <f t="shared" si="12"/>
        <v>10589182</v>
      </c>
      <c r="G36" s="4">
        <f t="shared" si="12"/>
        <v>748576</v>
      </c>
      <c r="H36" s="4">
        <f t="shared" si="12"/>
        <v>163046</v>
      </c>
      <c r="I36" s="4">
        <f>SUM(I30:I33)</f>
        <v>229683</v>
      </c>
      <c r="J36" s="4">
        <f t="shared" ref="J36" si="13">SUM(J31:J33)</f>
        <v>6654666</v>
      </c>
      <c r="K36" s="65">
        <f>SUM(K31:K33)</f>
        <v>309588</v>
      </c>
      <c r="L36" s="65">
        <f>SUM(L30:L33)</f>
        <v>457774</v>
      </c>
      <c r="M36" s="140">
        <f t="shared" ref="M36:R36" si="14">SUM(M30:M35)</f>
        <v>334876</v>
      </c>
      <c r="N36" s="140">
        <f t="shared" si="14"/>
        <v>1046909</v>
      </c>
      <c r="O36" s="140">
        <f t="shared" si="14"/>
        <v>776160</v>
      </c>
      <c r="P36" s="140">
        <f t="shared" si="14"/>
        <v>919317</v>
      </c>
      <c r="Q36" s="140">
        <f t="shared" si="14"/>
        <v>524360</v>
      </c>
      <c r="R36" s="140">
        <f t="shared" si="14"/>
        <v>536446</v>
      </c>
      <c r="S36" s="140">
        <f>SUM(S30:S35)</f>
        <v>1174045</v>
      </c>
      <c r="T36" s="140">
        <f>SUM(T30:T35)</f>
        <v>288590</v>
      </c>
      <c r="U36" s="47"/>
      <c r="V36" s="47"/>
      <c r="W36" t="s">
        <v>326</v>
      </c>
    </row>
    <row r="37" spans="2:23" ht="15.75" customHeight="1" x14ac:dyDescent="0.25">
      <c r="C37" s="39" t="s">
        <v>255</v>
      </c>
      <c r="E37">
        <f>E28+E36</f>
        <v>1352663</v>
      </c>
      <c r="F37">
        <f t="shared" ref="F37:L37" si="15">F28+F36</f>
        <v>6239344</v>
      </c>
      <c r="G37">
        <f t="shared" si="15"/>
        <v>-2664799</v>
      </c>
      <c r="H37">
        <f t="shared" si="15"/>
        <v>-367623</v>
      </c>
      <c r="I37">
        <f t="shared" si="15"/>
        <v>-27316</v>
      </c>
      <c r="J37">
        <f t="shared" si="15"/>
        <v>764269</v>
      </c>
      <c r="K37" s="66">
        <f t="shared" si="15"/>
        <v>-302674</v>
      </c>
      <c r="L37" s="66">
        <f t="shared" si="15"/>
        <v>951105</v>
      </c>
      <c r="M37" s="139">
        <f>M28+M36</f>
        <v>454724</v>
      </c>
      <c r="N37" s="139">
        <f t="shared" ref="N37" si="16">N28+N36</f>
        <v>60113</v>
      </c>
      <c r="O37" s="139">
        <f t="shared" ref="O37:S37" si="17">O28+O36</f>
        <v>287995</v>
      </c>
      <c r="P37" s="139">
        <f t="shared" si="17"/>
        <v>-167109</v>
      </c>
      <c r="Q37" s="139">
        <f t="shared" si="17"/>
        <v>-348373</v>
      </c>
      <c r="R37" s="139">
        <f t="shared" si="17"/>
        <v>1610634</v>
      </c>
      <c r="S37" s="139">
        <f t="shared" si="17"/>
        <v>1483649</v>
      </c>
      <c r="T37" s="139">
        <f>T28+T36</f>
        <v>2043773.5700000003</v>
      </c>
      <c r="U37" s="45"/>
      <c r="V37" s="45"/>
      <c r="W37" s="126" t="s">
        <v>326</v>
      </c>
    </row>
    <row r="38" spans="2:23" ht="15.75" customHeight="1" x14ac:dyDescent="0.25">
      <c r="B38" s="40" t="s">
        <v>317</v>
      </c>
      <c r="E38">
        <v>3907938</v>
      </c>
      <c r="F38" s="50">
        <v>4329126</v>
      </c>
      <c r="G38">
        <v>10568470</v>
      </c>
      <c r="H38">
        <v>7903671</v>
      </c>
      <c r="I38">
        <v>7536048</v>
      </c>
      <c r="J38">
        <v>7508732</v>
      </c>
      <c r="K38" s="61">
        <v>8273001</v>
      </c>
      <c r="L38" s="61">
        <v>7970327</v>
      </c>
      <c r="M38" s="61">
        <v>8921432</v>
      </c>
      <c r="N38" s="61">
        <v>9376156</v>
      </c>
      <c r="O38" s="61">
        <v>9436269</v>
      </c>
      <c r="P38" s="61">
        <v>9724264</v>
      </c>
      <c r="Q38" s="61">
        <v>9557155</v>
      </c>
      <c r="R38" s="61">
        <v>9208782</v>
      </c>
      <c r="S38" s="61">
        <v>10819416</v>
      </c>
      <c r="T38" s="61">
        <v>12303065</v>
      </c>
      <c r="U38" s="45"/>
      <c r="V38" s="45"/>
      <c r="W38" s="50" t="s">
        <v>262</v>
      </c>
    </row>
    <row r="39" spans="2:23" ht="15.75" customHeight="1" x14ac:dyDescent="0.25">
      <c r="B39" t="s">
        <v>261</v>
      </c>
      <c r="E39">
        <f>E37+E38</f>
        <v>5260601</v>
      </c>
      <c r="F39">
        <f>F37+F38</f>
        <v>10568470</v>
      </c>
      <c r="G39">
        <f>G37+G38</f>
        <v>7903671</v>
      </c>
      <c r="H39">
        <f t="shared" ref="H39:J39" si="18">H37+H38</f>
        <v>7536048</v>
      </c>
      <c r="I39">
        <f t="shared" si="18"/>
        <v>7508732</v>
      </c>
      <c r="J39">
        <f t="shared" si="18"/>
        <v>8273001</v>
      </c>
      <c r="K39" s="66">
        <f t="shared" ref="K39:O39" si="19">K37+K38</f>
        <v>7970327</v>
      </c>
      <c r="L39" s="66">
        <f t="shared" si="19"/>
        <v>8921432</v>
      </c>
      <c r="M39" s="66">
        <f t="shared" si="19"/>
        <v>9376156</v>
      </c>
      <c r="N39" s="66">
        <f t="shared" si="19"/>
        <v>9436269</v>
      </c>
      <c r="O39" s="66">
        <f t="shared" si="19"/>
        <v>9724264</v>
      </c>
      <c r="P39" s="66">
        <f>P37+P38</f>
        <v>9557155</v>
      </c>
      <c r="Q39" s="66">
        <f>Q37+Q38</f>
        <v>9208782</v>
      </c>
      <c r="R39" s="66">
        <f>R37+R38</f>
        <v>10819416</v>
      </c>
      <c r="S39" s="66">
        <f>S37+S38</f>
        <v>12303065</v>
      </c>
      <c r="T39" s="66">
        <f>T37+T38</f>
        <v>14346838.57</v>
      </c>
      <c r="U39" s="45"/>
      <c r="V39" s="45"/>
      <c r="W39" s="126" t="s">
        <v>326</v>
      </c>
    </row>
    <row r="40" spans="2:23" s="45" customFormat="1" ht="15.75" customHeight="1" x14ac:dyDescent="0.25">
      <c r="B40" s="44" t="s">
        <v>207</v>
      </c>
    </row>
    <row r="41" spans="2:23" ht="17.25" customHeight="1" x14ac:dyDescent="0.25">
      <c r="U41" s="1"/>
    </row>
    <row r="42" spans="2:23" ht="17.25" customHeight="1" x14ac:dyDescent="0.25">
      <c r="C42" s="105" t="s">
        <v>318</v>
      </c>
      <c r="E42" s="42">
        <v>3973113</v>
      </c>
      <c r="F42" s="42">
        <v>6546883</v>
      </c>
      <c r="G42" s="42">
        <v>4806507</v>
      </c>
      <c r="H42" s="42">
        <v>4078085</v>
      </c>
      <c r="I42" s="42">
        <v>3215644</v>
      </c>
      <c r="J42" s="42">
        <v>2618717</v>
      </c>
      <c r="K42" s="61">
        <v>1397175</v>
      </c>
      <c r="L42" s="61">
        <v>1435414</v>
      </c>
      <c r="M42" s="61">
        <v>1419230</v>
      </c>
      <c r="N42" s="61">
        <v>1489046</v>
      </c>
      <c r="O42" s="61">
        <v>1433196</v>
      </c>
      <c r="P42" s="61">
        <v>309000</v>
      </c>
      <c r="Q42" s="61">
        <v>303000</v>
      </c>
      <c r="R42" s="61">
        <v>353334</v>
      </c>
      <c r="S42" s="61">
        <v>395149</v>
      </c>
      <c r="T42" s="61">
        <v>410194</v>
      </c>
      <c r="U42" s="108">
        <f t="shared" ref="U42:V47" si="20">S42/S$80</f>
        <v>8.0820788677084181</v>
      </c>
      <c r="V42" s="108">
        <f t="shared" si="20"/>
        <v>8.3267833218302147</v>
      </c>
    </row>
    <row r="43" spans="2:23" ht="17.25" customHeight="1" x14ac:dyDescent="0.25">
      <c r="C43" s="105" t="s">
        <v>319</v>
      </c>
      <c r="E43" s="42">
        <v>1287488</v>
      </c>
      <c r="F43" s="42">
        <v>3280272</v>
      </c>
      <c r="G43" s="42">
        <v>2278313</v>
      </c>
      <c r="H43" s="42">
        <v>2591665</v>
      </c>
      <c r="I43" s="42">
        <v>3341560</v>
      </c>
      <c r="J43" s="42">
        <v>5645480</v>
      </c>
      <c r="K43" s="61">
        <v>921377</v>
      </c>
      <c r="L43" s="61">
        <v>1011077</v>
      </c>
      <c r="M43" s="61">
        <v>1174575</v>
      </c>
      <c r="N43" s="61">
        <v>1086200</v>
      </c>
      <c r="O43" s="61">
        <v>1224925</v>
      </c>
      <c r="P43" s="61">
        <v>2287399</v>
      </c>
      <c r="Q43" s="61">
        <v>2194279</v>
      </c>
      <c r="R43" s="61">
        <v>2382811</v>
      </c>
      <c r="S43" s="61">
        <v>2689914</v>
      </c>
      <c r="T43" s="61">
        <v>2807488</v>
      </c>
      <c r="U43" s="108">
        <f t="shared" si="20"/>
        <v>55.017467070277348</v>
      </c>
      <c r="V43" s="108">
        <f t="shared" si="20"/>
        <v>56.990946368397545</v>
      </c>
    </row>
    <row r="44" spans="2:23" ht="17.25" customHeight="1" x14ac:dyDescent="0.25">
      <c r="C44" s="105" t="s">
        <v>320</v>
      </c>
      <c r="E44" s="42">
        <v>0</v>
      </c>
      <c r="F44" s="42">
        <v>741315</v>
      </c>
      <c r="G44" s="42">
        <v>818851</v>
      </c>
      <c r="H44" s="42">
        <v>866298</v>
      </c>
      <c r="I44" s="42">
        <v>951528</v>
      </c>
      <c r="J44" s="42">
        <v>8804</v>
      </c>
      <c r="K44" s="61">
        <v>3230183</v>
      </c>
      <c r="L44" s="61">
        <v>3718286</v>
      </c>
      <c r="M44" s="61">
        <v>3753726</v>
      </c>
      <c r="N44" s="61">
        <v>3493986</v>
      </c>
      <c r="O44" s="61">
        <v>3595619</v>
      </c>
      <c r="P44" s="61">
        <v>3115592</v>
      </c>
      <c r="Q44" s="61">
        <v>2817650</v>
      </c>
      <c r="R44" s="61">
        <v>2747119</v>
      </c>
      <c r="S44" s="61">
        <v>2859204</v>
      </c>
      <c r="T44" s="61">
        <v>3651193</v>
      </c>
      <c r="U44" s="108">
        <f t="shared" si="20"/>
        <v>58.47999672748098</v>
      </c>
      <c r="V44" s="108">
        <f t="shared" si="20"/>
        <v>74.117839308188863</v>
      </c>
    </row>
    <row r="45" spans="2:23" ht="17.25" customHeight="1" thickBot="1" x14ac:dyDescent="0.3">
      <c r="C45" s="105" t="s">
        <v>321</v>
      </c>
      <c r="E45" s="136">
        <f t="shared" ref="E45:J45" si="21">SUM(E42:E44)</f>
        <v>5260601</v>
      </c>
      <c r="F45" s="136">
        <f t="shared" si="21"/>
        <v>10568470</v>
      </c>
      <c r="G45" s="136">
        <f t="shared" si="21"/>
        <v>7903671</v>
      </c>
      <c r="H45" s="136">
        <f t="shared" si="21"/>
        <v>7536048</v>
      </c>
      <c r="I45" s="136">
        <f t="shared" si="21"/>
        <v>7508732</v>
      </c>
      <c r="J45" s="136">
        <f t="shared" si="21"/>
        <v>8273001</v>
      </c>
      <c r="K45" s="61">
        <v>822595</v>
      </c>
      <c r="L45" s="61">
        <v>1018449</v>
      </c>
      <c r="M45" s="61">
        <v>1023639</v>
      </c>
      <c r="N45" s="61">
        <v>1138612</v>
      </c>
      <c r="O45" s="61">
        <v>1337188</v>
      </c>
      <c r="P45" s="61">
        <v>1411790</v>
      </c>
      <c r="Q45" s="61">
        <v>1554169</v>
      </c>
      <c r="R45" s="61">
        <v>2483014</v>
      </c>
      <c r="S45" s="61">
        <v>2934028</v>
      </c>
      <c r="T45" s="61">
        <v>3814853</v>
      </c>
      <c r="U45" s="108">
        <f t="shared" si="20"/>
        <v>60.010390247893319</v>
      </c>
      <c r="V45" s="108">
        <f t="shared" si="20"/>
        <v>77.440075514595435</v>
      </c>
    </row>
    <row r="46" spans="2:23" ht="17.25" customHeight="1" thickTop="1" thickBot="1" x14ac:dyDescent="0.3">
      <c r="C46" s="105" t="s">
        <v>322</v>
      </c>
      <c r="K46" s="107">
        <v>1598997</v>
      </c>
      <c r="L46" s="107">
        <v>1738206</v>
      </c>
      <c r="M46" s="107">
        <v>2004986</v>
      </c>
      <c r="N46" s="107">
        <v>2228425</v>
      </c>
      <c r="O46" s="107">
        <v>2133336</v>
      </c>
      <c r="P46" s="107">
        <v>2433374</v>
      </c>
      <c r="Q46" s="107">
        <v>2339684</v>
      </c>
      <c r="R46" s="107">
        <v>2853138</v>
      </c>
      <c r="S46" s="107">
        <v>3424770</v>
      </c>
      <c r="T46" s="107">
        <v>3663111</v>
      </c>
      <c r="U46" s="109">
        <f t="shared" si="20"/>
        <v>70.047656058250837</v>
      </c>
      <c r="V46" s="109">
        <f t="shared" si="20"/>
        <v>74.359770208274128</v>
      </c>
    </row>
    <row r="47" spans="2:23" ht="17.25" customHeight="1" thickTop="1" x14ac:dyDescent="0.25">
      <c r="C47" s="106" t="s">
        <v>261</v>
      </c>
      <c r="E47">
        <f t="shared" ref="E47:I47" si="22">SUM(E42:E43)</f>
        <v>5260601</v>
      </c>
      <c r="F47">
        <f t="shared" si="22"/>
        <v>9827155</v>
      </c>
      <c r="G47">
        <f t="shared" si="22"/>
        <v>7084820</v>
      </c>
      <c r="H47">
        <f t="shared" si="22"/>
        <v>6669750</v>
      </c>
      <c r="I47">
        <f t="shared" si="22"/>
        <v>6557204</v>
      </c>
      <c r="J47">
        <f>SUM(J42:J43)</f>
        <v>8264197</v>
      </c>
      <c r="K47" s="66">
        <f t="shared" ref="K47:T47" si="23">SUM(K42:K46)</f>
        <v>7970327</v>
      </c>
      <c r="L47" s="66">
        <f t="shared" si="23"/>
        <v>8921432</v>
      </c>
      <c r="M47" s="66">
        <f t="shared" si="23"/>
        <v>9376156</v>
      </c>
      <c r="N47" s="66">
        <f t="shared" si="23"/>
        <v>9436269</v>
      </c>
      <c r="O47" s="66">
        <f t="shared" si="23"/>
        <v>9724264</v>
      </c>
      <c r="P47" s="66">
        <f t="shared" si="23"/>
        <v>9557155</v>
      </c>
      <c r="Q47" s="66">
        <f t="shared" si="23"/>
        <v>9208782</v>
      </c>
      <c r="R47" s="66">
        <f t="shared" si="23"/>
        <v>10819416</v>
      </c>
      <c r="S47" s="66">
        <f t="shared" si="23"/>
        <v>12303065</v>
      </c>
      <c r="T47" s="66">
        <f t="shared" si="23"/>
        <v>14346839</v>
      </c>
      <c r="U47" s="66">
        <f t="shared" si="20"/>
        <v>251.63758897161091</v>
      </c>
      <c r="V47" s="66">
        <f t="shared" si="20"/>
        <v>291.23541472128619</v>
      </c>
    </row>
    <row r="48" spans="2:23" ht="17.25" customHeight="1" x14ac:dyDescent="0.25">
      <c r="U48" s="1"/>
    </row>
    <row r="49" spans="2:23" ht="17.25" customHeight="1" x14ac:dyDescent="0.25">
      <c r="B49" s="12" t="s">
        <v>137</v>
      </c>
      <c r="E49" s="30"/>
      <c r="F49" s="30"/>
      <c r="G49" s="30"/>
      <c r="H49" s="30"/>
      <c r="I49" s="30"/>
      <c r="J49" s="30"/>
      <c r="K49" s="30"/>
      <c r="L49" s="30"/>
      <c r="M49" s="30"/>
      <c r="N49" s="30"/>
      <c r="O49" s="30"/>
      <c r="P49" s="30"/>
      <c r="Q49" s="30"/>
      <c r="R49" s="30"/>
      <c r="S49" s="30"/>
      <c r="T49" s="30"/>
      <c r="U49" s="10"/>
    </row>
    <row r="50" spans="2:23" ht="17.25" customHeight="1" x14ac:dyDescent="0.25">
      <c r="B50" t="s">
        <v>85</v>
      </c>
      <c r="D50" s="51">
        <v>2004</v>
      </c>
      <c r="E50" s="51">
        <v>2005</v>
      </c>
      <c r="F50" s="51">
        <v>2006</v>
      </c>
      <c r="G50" s="51">
        <v>2007</v>
      </c>
      <c r="H50" s="51">
        <v>2008</v>
      </c>
      <c r="I50" s="51">
        <v>2009</v>
      </c>
      <c r="J50" s="51">
        <v>2010</v>
      </c>
      <c r="K50" s="51">
        <v>2011</v>
      </c>
      <c r="L50" s="125">
        <v>2012</v>
      </c>
      <c r="M50" s="125">
        <v>2013</v>
      </c>
      <c r="N50" s="125">
        <v>2014</v>
      </c>
      <c r="O50" s="125">
        <v>2015</v>
      </c>
      <c r="P50" s="125">
        <v>2016</v>
      </c>
      <c r="Q50" s="125">
        <v>2017</v>
      </c>
      <c r="R50" s="125">
        <v>2018</v>
      </c>
      <c r="S50" s="125">
        <v>2019</v>
      </c>
      <c r="T50" s="125">
        <v>2020</v>
      </c>
      <c r="U50" s="1"/>
      <c r="W50" s="40"/>
    </row>
    <row r="51" spans="2:23" ht="17.25" customHeight="1" x14ac:dyDescent="0.25">
      <c r="B51" t="s">
        <v>203</v>
      </c>
      <c r="D51" s="31">
        <v>38352</v>
      </c>
      <c r="E51" s="31">
        <v>38717</v>
      </c>
      <c r="F51" s="31">
        <v>39082</v>
      </c>
      <c r="G51" s="31">
        <v>39447</v>
      </c>
      <c r="H51" s="31">
        <v>39813</v>
      </c>
      <c r="I51" s="31">
        <v>40178</v>
      </c>
      <c r="J51" s="31">
        <v>40543</v>
      </c>
      <c r="K51" s="122">
        <v>40908</v>
      </c>
      <c r="L51" s="122">
        <v>41274</v>
      </c>
      <c r="M51" s="122">
        <v>41639</v>
      </c>
      <c r="N51" s="122">
        <v>42004</v>
      </c>
      <c r="O51" s="122">
        <v>42369</v>
      </c>
      <c r="P51" s="122">
        <v>42735</v>
      </c>
      <c r="Q51" s="122">
        <v>43100</v>
      </c>
      <c r="R51" s="122">
        <v>43465</v>
      </c>
      <c r="S51" s="122">
        <v>43830</v>
      </c>
      <c r="T51" s="122">
        <v>44196</v>
      </c>
      <c r="U51" s="1"/>
      <c r="W51" s="40"/>
    </row>
    <row r="52" spans="2:23" ht="15" customHeight="1" x14ac:dyDescent="0.25">
      <c r="C52" s="17" t="s">
        <v>161</v>
      </c>
      <c r="D52" s="42">
        <v>15165680</v>
      </c>
      <c r="E52" s="42">
        <v>15877399</v>
      </c>
      <c r="F52" s="42">
        <v>16600409</v>
      </c>
      <c r="G52" s="42">
        <v>17533131</v>
      </c>
      <c r="H52" s="42">
        <v>18748766</v>
      </c>
      <c r="I52" s="42">
        <v>18868113</v>
      </c>
      <c r="J52" s="42">
        <v>18965509</v>
      </c>
      <c r="K52" s="62">
        <v>19331637</v>
      </c>
      <c r="L52" s="129">
        <v>19811966</v>
      </c>
      <c r="M52" s="129">
        <v>20481876</v>
      </c>
      <c r="N52" s="129">
        <v>21134404</v>
      </c>
      <c r="O52" s="129">
        <v>21467108</v>
      </c>
      <c r="P52" s="129">
        <v>21625167</v>
      </c>
      <c r="Q52" s="129">
        <v>21792743</v>
      </c>
      <c r="R52" s="129">
        <v>21817232</v>
      </c>
      <c r="S52" s="129">
        <v>21859272</v>
      </c>
      <c r="T52" s="129">
        <v>22665282</v>
      </c>
      <c r="U52" s="139">
        <f>ROUND(S52/$S$80,2)</f>
        <v>447.09</v>
      </c>
      <c r="V52" s="139">
        <f>ROUND(T52/T80,2)</f>
        <v>460.1</v>
      </c>
    </row>
    <row r="53" spans="2:23" ht="15" customHeight="1" x14ac:dyDescent="0.25">
      <c r="C53" s="17" t="s">
        <v>197</v>
      </c>
      <c r="D53" s="42">
        <v>17051369</v>
      </c>
      <c r="E53" s="42">
        <v>17892948</v>
      </c>
      <c r="F53" s="42">
        <v>19276655</v>
      </c>
      <c r="G53" s="42">
        <v>19685623</v>
      </c>
      <c r="H53" s="42">
        <v>20839568</v>
      </c>
      <c r="I53" s="42">
        <v>21479837</v>
      </c>
      <c r="J53" s="42">
        <v>22385298</v>
      </c>
      <c r="K53" s="62">
        <v>23803330</v>
      </c>
      <c r="L53" s="129">
        <v>24344199</v>
      </c>
      <c r="M53" s="129">
        <v>24815637</v>
      </c>
      <c r="N53" s="129">
        <v>25222220</v>
      </c>
      <c r="O53" s="129">
        <v>26592373</v>
      </c>
      <c r="P53" s="129">
        <v>26500057</v>
      </c>
      <c r="Q53" s="129">
        <v>26379537</v>
      </c>
      <c r="R53" s="129">
        <v>26581970</v>
      </c>
      <c r="S53" s="129">
        <v>27707069</v>
      </c>
      <c r="T53" s="129">
        <v>28581989</v>
      </c>
      <c r="U53" s="139">
        <f t="shared" ref="U53:U54" si="24">ROUND(S53/$S$80,2)</f>
        <v>566.70000000000005</v>
      </c>
      <c r="V53" s="139">
        <f>ROUND(T53/T80,2)</f>
        <v>580.20000000000005</v>
      </c>
    </row>
    <row r="54" spans="2:23" ht="15" customHeight="1" x14ac:dyDescent="0.25">
      <c r="C54" s="17" t="s">
        <v>15</v>
      </c>
      <c r="D54" s="42">
        <f>+D53-D52</f>
        <v>1885689</v>
      </c>
      <c r="E54" s="42">
        <f t="shared" ref="E54:I54" si="25">+E53-E52</f>
        <v>2015549</v>
      </c>
      <c r="F54" s="42">
        <f t="shared" si="25"/>
        <v>2676246</v>
      </c>
      <c r="G54" s="42">
        <f t="shared" si="25"/>
        <v>2152492</v>
      </c>
      <c r="H54" s="42">
        <f>+H53-H52</f>
        <v>2090802</v>
      </c>
      <c r="I54" s="42">
        <f t="shared" si="25"/>
        <v>2611724</v>
      </c>
      <c r="J54" s="133">
        <f>+J53-J52</f>
        <v>3419789</v>
      </c>
      <c r="K54" s="61">
        <v>4471693</v>
      </c>
      <c r="L54" s="130">
        <v>4532233</v>
      </c>
      <c r="M54" s="130">
        <v>4333761</v>
      </c>
      <c r="N54" s="130">
        <v>4087816</v>
      </c>
      <c r="O54" s="130">
        <v>5125265</v>
      </c>
      <c r="P54" s="130">
        <v>4874890</v>
      </c>
      <c r="Q54" s="130">
        <v>4586794</v>
      </c>
      <c r="R54" s="130">
        <v>4764738</v>
      </c>
      <c r="S54" s="130">
        <v>5847797</v>
      </c>
      <c r="T54" s="130">
        <v>5916707</v>
      </c>
      <c r="U54" s="139">
        <f t="shared" si="24"/>
        <v>119.61</v>
      </c>
      <c r="V54" s="139">
        <f>ROUND(T54/T80,2)</f>
        <v>120.11</v>
      </c>
    </row>
    <row r="55" spans="2:23" ht="15" customHeight="1" x14ac:dyDescent="0.25">
      <c r="B55" s="3"/>
      <c r="C55" t="s">
        <v>195</v>
      </c>
      <c r="D55" s="43">
        <f>IF(ABS(D53)=0,"",+D52/D53)</f>
        <v>0.889411284220053</v>
      </c>
      <c r="E55" s="43">
        <f t="shared" ref="E55:I55" si="26">IF(ABS(E53)=0,"",+E52/E53)</f>
        <v>0.88735511889935637</v>
      </c>
      <c r="F55" s="43">
        <f t="shared" si="26"/>
        <v>0.86116647312513506</v>
      </c>
      <c r="G55" s="43">
        <f t="shared" si="26"/>
        <v>0.89065664825542989</v>
      </c>
      <c r="H55" s="43">
        <f>IF(ABS(H53)=0,"",+H52/H53)</f>
        <v>0.89967152869963518</v>
      </c>
      <c r="I55" s="43">
        <f t="shared" si="26"/>
        <v>0.87841043672724328</v>
      </c>
      <c r="J55" s="43">
        <f>IF(ABS(J53)=0,"",+J52/J53)</f>
        <v>0.84723057964204895</v>
      </c>
      <c r="K55" s="71">
        <v>0.81</v>
      </c>
      <c r="L55" s="131">
        <f>L52/L53</f>
        <v>0.81382698194341907</v>
      </c>
      <c r="M55" s="144">
        <v>0.82499999999999996</v>
      </c>
      <c r="N55" s="144">
        <v>0.83799999999999997</v>
      </c>
      <c r="O55" s="144">
        <f>SUM(O52/O53)</f>
        <v>0.80726560205815401</v>
      </c>
      <c r="P55" s="144">
        <f>SUM(P52/P53)</f>
        <v>0.81604228247509047</v>
      </c>
      <c r="Q55" s="144">
        <v>0.82599999999999996</v>
      </c>
      <c r="R55" s="144">
        <v>0.82099999999999995</v>
      </c>
      <c r="S55" s="144">
        <v>0.78900000000000003</v>
      </c>
      <c r="T55" s="144">
        <v>0.79</v>
      </c>
      <c r="U55" s="141"/>
      <c r="V55" s="142"/>
      <c r="W55" s="157"/>
    </row>
    <row r="56" spans="2:23" ht="15" customHeight="1" x14ac:dyDescent="0.25">
      <c r="B56" t="s">
        <v>145</v>
      </c>
      <c r="E56" s="51">
        <v>2006</v>
      </c>
      <c r="F56" s="51">
        <v>2007</v>
      </c>
      <c r="G56" s="51">
        <v>2008</v>
      </c>
      <c r="H56" s="51">
        <v>2009</v>
      </c>
      <c r="I56" s="51">
        <v>2010</v>
      </c>
      <c r="J56" s="51">
        <v>2011</v>
      </c>
      <c r="K56" s="51">
        <v>2012</v>
      </c>
      <c r="L56" s="51">
        <v>2013</v>
      </c>
      <c r="M56" s="51">
        <v>2014</v>
      </c>
      <c r="N56" s="51">
        <v>2015</v>
      </c>
      <c r="O56" s="51">
        <v>2016</v>
      </c>
      <c r="P56" s="51">
        <v>2017</v>
      </c>
      <c r="Q56" s="51">
        <v>2018</v>
      </c>
      <c r="R56" s="51">
        <v>2019</v>
      </c>
      <c r="S56" s="51">
        <v>2020</v>
      </c>
      <c r="T56" s="51">
        <v>2021</v>
      </c>
      <c r="U56" s="141"/>
      <c r="V56" s="128"/>
    </row>
    <row r="57" spans="2:23" ht="17.25" customHeight="1" x14ac:dyDescent="0.25">
      <c r="B57" t="s">
        <v>81</v>
      </c>
      <c r="D57" s="31">
        <v>38717</v>
      </c>
      <c r="E57" s="31">
        <v>39082</v>
      </c>
      <c r="F57" s="31">
        <v>39447</v>
      </c>
      <c r="G57" s="31">
        <v>39813</v>
      </c>
      <c r="H57" s="31">
        <v>40178</v>
      </c>
      <c r="I57" s="31">
        <v>40543</v>
      </c>
      <c r="J57" s="31">
        <v>40817</v>
      </c>
      <c r="K57" s="32">
        <v>41183</v>
      </c>
      <c r="L57" s="32">
        <v>41548</v>
      </c>
      <c r="M57" s="32">
        <v>41913</v>
      </c>
      <c r="N57" s="32">
        <v>42278</v>
      </c>
      <c r="O57" s="32">
        <v>42644</v>
      </c>
      <c r="P57" s="32">
        <v>43008</v>
      </c>
      <c r="Q57" s="32">
        <v>43373</v>
      </c>
      <c r="R57" s="32">
        <v>43738</v>
      </c>
      <c r="S57" s="32">
        <v>44104</v>
      </c>
      <c r="T57" s="32">
        <v>44469</v>
      </c>
      <c r="U57" s="143"/>
      <c r="V57" s="143"/>
    </row>
    <row r="58" spans="2:23" ht="15" customHeight="1" x14ac:dyDescent="0.25">
      <c r="C58" s="17" t="s">
        <v>161</v>
      </c>
      <c r="D58" s="42"/>
      <c r="E58" s="42"/>
      <c r="F58" s="42"/>
      <c r="G58" s="42"/>
      <c r="H58" s="42">
        <v>563825.56999999995</v>
      </c>
      <c r="I58" s="123">
        <v>715770.12</v>
      </c>
      <c r="J58" s="62">
        <v>1067702</v>
      </c>
      <c r="K58" s="132">
        <v>1788994</v>
      </c>
      <c r="L58" s="132">
        <v>1433150</v>
      </c>
      <c r="M58" s="132">
        <v>3035696</v>
      </c>
      <c r="N58" s="132">
        <v>2990339</v>
      </c>
      <c r="O58" s="132">
        <v>3958578</v>
      </c>
      <c r="P58" s="132">
        <v>3830578</v>
      </c>
      <c r="Q58" s="132">
        <v>4635185</v>
      </c>
      <c r="R58" s="132">
        <v>4682865</v>
      </c>
      <c r="S58" s="132">
        <v>4839421</v>
      </c>
      <c r="T58" s="132">
        <v>5015032</v>
      </c>
      <c r="U58" s="139">
        <f>ROUND(S58/$S$80,2)</f>
        <v>98.98</v>
      </c>
      <c r="V58" s="139">
        <f>ROUND(T58/$T$80,2)</f>
        <v>101.8</v>
      </c>
      <c r="W58" s="46"/>
    </row>
    <row r="59" spans="2:23" ht="15" customHeight="1" x14ac:dyDescent="0.25">
      <c r="C59" s="17" t="s">
        <v>197</v>
      </c>
      <c r="D59" s="42"/>
      <c r="E59" s="42"/>
      <c r="F59" s="42">
        <v>5681993</v>
      </c>
      <c r="G59" s="42">
        <v>5952886</v>
      </c>
      <c r="H59" s="42">
        <v>5952886</v>
      </c>
      <c r="I59" s="42">
        <v>5952886</v>
      </c>
      <c r="J59" s="62">
        <f>10144088-520918</f>
        <v>9623170</v>
      </c>
      <c r="K59" s="132">
        <f>10520001-478497</f>
        <v>10041504</v>
      </c>
      <c r="L59" s="132">
        <f>11037498-418896</f>
        <v>10618602</v>
      </c>
      <c r="M59" s="132">
        <f>11456536-379357</f>
        <v>11077179</v>
      </c>
      <c r="N59" s="132">
        <f>13447367-323679</f>
        <v>13123688</v>
      </c>
      <c r="O59" s="132">
        <f>13746050-290458</f>
        <v>13455592</v>
      </c>
      <c r="P59" s="132">
        <v>5830874</v>
      </c>
      <c r="Q59" s="132">
        <v>5883374</v>
      </c>
      <c r="R59" s="132">
        <v>5940248</v>
      </c>
      <c r="S59" s="132">
        <v>4118294</v>
      </c>
      <c r="T59" s="132">
        <v>4154580</v>
      </c>
      <c r="U59" s="139">
        <f t="shared" ref="U59:U60" si="27">ROUND(S59/$S$80,2)</f>
        <v>84.23</v>
      </c>
      <c r="V59" s="139">
        <f>ROUND(T59/$T$80,2)</f>
        <v>84.34</v>
      </c>
      <c r="W59" s="46"/>
    </row>
    <row r="60" spans="2:23" ht="15" customHeight="1" x14ac:dyDescent="0.25">
      <c r="C60" s="17" t="s">
        <v>151</v>
      </c>
      <c r="E60" s="15">
        <f t="shared" ref="E60" si="28">+E59-E58</f>
        <v>0</v>
      </c>
      <c r="F60" s="15">
        <f t="shared" ref="F60:K60" si="29">+F59-F58</f>
        <v>5681993</v>
      </c>
      <c r="G60" s="15">
        <f t="shared" si="29"/>
        <v>5952886</v>
      </c>
      <c r="H60" s="15">
        <f t="shared" si="29"/>
        <v>5389060.4299999997</v>
      </c>
      <c r="I60" s="15">
        <f t="shared" si="29"/>
        <v>5237115.88</v>
      </c>
      <c r="J60" s="68">
        <f t="shared" si="29"/>
        <v>8555468</v>
      </c>
      <c r="K60" s="68">
        <f t="shared" si="29"/>
        <v>8252510</v>
      </c>
      <c r="L60" s="68">
        <v>8555468</v>
      </c>
      <c r="M60" s="68">
        <f t="shared" ref="M60:R60" si="30">+M59-M58</f>
        <v>8041483</v>
      </c>
      <c r="N60" s="68">
        <f t="shared" si="30"/>
        <v>10133349</v>
      </c>
      <c r="O60" s="68">
        <f t="shared" si="30"/>
        <v>9497014</v>
      </c>
      <c r="P60" s="68">
        <f t="shared" si="30"/>
        <v>2000296</v>
      </c>
      <c r="Q60" s="68">
        <f t="shared" si="30"/>
        <v>1248189</v>
      </c>
      <c r="R60" s="68">
        <f t="shared" si="30"/>
        <v>1257383</v>
      </c>
      <c r="S60" s="68">
        <f t="shared" ref="S60:T60" si="31">+S59-S58</f>
        <v>-721127</v>
      </c>
      <c r="T60" s="68">
        <f t="shared" si="31"/>
        <v>-860452</v>
      </c>
      <c r="U60" s="139">
        <f t="shared" si="27"/>
        <v>-14.75</v>
      </c>
      <c r="V60" s="139">
        <f>ROUND(T60/$T$80,2)</f>
        <v>-17.47</v>
      </c>
      <c r="W60" s="46"/>
    </row>
    <row r="61" spans="2:23" ht="15" customHeight="1" x14ac:dyDescent="0.25">
      <c r="B61" s="3"/>
      <c r="C61" t="s">
        <v>195</v>
      </c>
      <c r="D61" s="8" t="str">
        <f t="shared" ref="D61:E61" si="32">IF(ABS(D59)=0,"",+D58/D59)</f>
        <v/>
      </c>
      <c r="E61" s="8" t="str">
        <f t="shared" si="32"/>
        <v/>
      </c>
      <c r="F61" s="8">
        <f t="shared" ref="F61:K61" si="33">IF(ABS(F59)=0,"",+F58/F59)</f>
        <v>0</v>
      </c>
      <c r="G61" s="8">
        <f t="shared" si="33"/>
        <v>0</v>
      </c>
      <c r="H61" s="8">
        <f t="shared" si="33"/>
        <v>9.4714659410578328E-2</v>
      </c>
      <c r="I61" s="8">
        <f t="shared" si="33"/>
        <v>0.12023917810621604</v>
      </c>
      <c r="J61" s="67">
        <f t="shared" si="33"/>
        <v>0.11095117305420148</v>
      </c>
      <c r="K61" s="67">
        <f t="shared" si="33"/>
        <v>0.17815996488175476</v>
      </c>
      <c r="L61" s="67">
        <v>0.11</v>
      </c>
      <c r="M61" s="145">
        <f t="shared" ref="M61:P61" si="34">IF(ABS(M59)=0,"",+M58/M59)</f>
        <v>0.27404955720224439</v>
      </c>
      <c r="N61" s="145">
        <f t="shared" si="34"/>
        <v>0.22785812951359405</v>
      </c>
      <c r="O61" s="145">
        <f t="shared" si="34"/>
        <v>0.29419575147641219</v>
      </c>
      <c r="P61" s="145">
        <f t="shared" si="34"/>
        <v>0.65694748334469244</v>
      </c>
      <c r="Q61" s="145">
        <f>IF(ABS(Q59)=0,"",+Q58/Q59)</f>
        <v>0.78784469591768258</v>
      </c>
      <c r="R61" s="145">
        <f>IF(ABS(R59)=0,"",+R58/R59)</f>
        <v>0.78832819774527929</v>
      </c>
      <c r="S61" s="145">
        <f>IF(ABS(S59)=0,"",+S58/S59)</f>
        <v>1.1751033316222688</v>
      </c>
      <c r="T61" s="145">
        <f>IF(ABS(T59)=0,"",+T58/T59)</f>
        <v>1.2071092625488016</v>
      </c>
      <c r="U61" s="112"/>
      <c r="V61" s="112"/>
      <c r="W61" s="124"/>
    </row>
    <row r="62" spans="2:23" ht="15" customHeight="1" x14ac:dyDescent="0.25">
      <c r="B62" s="9" t="s">
        <v>105</v>
      </c>
      <c r="U62" s="112"/>
      <c r="V62" s="112"/>
    </row>
    <row r="63" spans="2:23" ht="15" customHeight="1" x14ac:dyDescent="0.25">
      <c r="C63" s="17" t="s">
        <v>161</v>
      </c>
      <c r="D63">
        <f>+D52+D58</f>
        <v>15165680</v>
      </c>
      <c r="E63">
        <f t="shared" ref="E63" si="35">+E52+E58</f>
        <v>15877399</v>
      </c>
      <c r="F63">
        <f>+F52+F58</f>
        <v>16600409</v>
      </c>
      <c r="G63" s="126">
        <v>17533131</v>
      </c>
      <c r="H63">
        <f t="shared" ref="H63:J64" si="36">+H52+G58</f>
        <v>18748766</v>
      </c>
      <c r="I63">
        <f t="shared" si="36"/>
        <v>19431938.57</v>
      </c>
      <c r="J63">
        <f t="shared" si="36"/>
        <v>19681279.120000001</v>
      </c>
      <c r="K63" s="66">
        <f t="shared" ref="K63:R64" si="37">+K52+K58</f>
        <v>21120631</v>
      </c>
      <c r="L63" s="66">
        <f t="shared" si="37"/>
        <v>21245116</v>
      </c>
      <c r="M63" s="66">
        <f t="shared" si="37"/>
        <v>23517572</v>
      </c>
      <c r="N63" s="66">
        <f t="shared" si="37"/>
        <v>24124743</v>
      </c>
      <c r="O63" s="66">
        <f t="shared" si="37"/>
        <v>25425686</v>
      </c>
      <c r="P63" s="66">
        <f t="shared" si="37"/>
        <v>25455745</v>
      </c>
      <c r="Q63" s="66">
        <f t="shared" si="37"/>
        <v>26427928</v>
      </c>
      <c r="R63" s="66">
        <f t="shared" si="37"/>
        <v>26500097</v>
      </c>
      <c r="S63" s="66">
        <f>+S52+S58</f>
        <v>26698693</v>
      </c>
      <c r="T63" s="66">
        <f>+T52+T58</f>
        <v>27680314</v>
      </c>
      <c r="U63" s="139">
        <f>ROUND(S63/$S$80,2)</f>
        <v>546.07000000000005</v>
      </c>
      <c r="V63" s="139">
        <f>ROUND(T63/$T$80,2)</f>
        <v>561.9</v>
      </c>
    </row>
    <row r="64" spans="2:23" ht="15" customHeight="1" x14ac:dyDescent="0.25">
      <c r="C64" s="17" t="s">
        <v>197</v>
      </c>
      <c r="D64">
        <f>+D53+D59</f>
        <v>17051369</v>
      </c>
      <c r="E64">
        <f t="shared" ref="E64" si="38">+E53+E59</f>
        <v>17892948</v>
      </c>
      <c r="F64">
        <f>+F53+F59</f>
        <v>24958648</v>
      </c>
      <c r="G64" s="126">
        <v>19685623</v>
      </c>
      <c r="H64">
        <f t="shared" si="36"/>
        <v>26792454</v>
      </c>
      <c r="I64">
        <f t="shared" si="36"/>
        <v>27432723</v>
      </c>
      <c r="J64">
        <f t="shared" si="36"/>
        <v>28338184</v>
      </c>
      <c r="K64" s="66">
        <f t="shared" si="37"/>
        <v>33844834</v>
      </c>
      <c r="L64" s="66">
        <f t="shared" si="37"/>
        <v>34962801</v>
      </c>
      <c r="M64" s="66">
        <f t="shared" si="37"/>
        <v>35892816</v>
      </c>
      <c r="N64" s="66">
        <f t="shared" si="37"/>
        <v>38345908</v>
      </c>
      <c r="O64" s="66">
        <f t="shared" si="37"/>
        <v>40047965</v>
      </c>
      <c r="P64" s="66">
        <f t="shared" si="37"/>
        <v>32330931</v>
      </c>
      <c r="Q64" s="66">
        <f t="shared" si="37"/>
        <v>32262911</v>
      </c>
      <c r="R64" s="66">
        <f t="shared" si="37"/>
        <v>32522218</v>
      </c>
      <c r="S64" s="66">
        <f>+S53+S59</f>
        <v>31825363</v>
      </c>
      <c r="T64" s="66">
        <f>+T53+T59</f>
        <v>32736569</v>
      </c>
      <c r="U64" s="139">
        <f t="shared" ref="U64:U65" si="39">ROUND(S64/$S$80,2)</f>
        <v>650.92999999999995</v>
      </c>
      <c r="V64" s="139">
        <f>ROUND(T64/$T$80,2)</f>
        <v>664.54</v>
      </c>
    </row>
    <row r="65" spans="2:23" ht="15" customHeight="1" x14ac:dyDescent="0.25">
      <c r="C65" s="17" t="s">
        <v>151</v>
      </c>
      <c r="D65">
        <f t="shared" ref="D65:L65" si="40">+D64-D63</f>
        <v>1885689</v>
      </c>
      <c r="E65">
        <f t="shared" si="40"/>
        <v>2015549</v>
      </c>
      <c r="F65">
        <f t="shared" si="40"/>
        <v>8358239</v>
      </c>
      <c r="G65" s="126">
        <v>2152492</v>
      </c>
      <c r="H65">
        <f t="shared" si="40"/>
        <v>8043688</v>
      </c>
      <c r="I65">
        <f t="shared" si="40"/>
        <v>8000784.4299999997</v>
      </c>
      <c r="J65">
        <f t="shared" si="40"/>
        <v>8656904.879999999</v>
      </c>
      <c r="K65" s="66">
        <f t="shared" si="40"/>
        <v>12724203</v>
      </c>
      <c r="L65" s="66">
        <f t="shared" si="40"/>
        <v>13717685</v>
      </c>
      <c r="M65" s="66">
        <f t="shared" ref="M65:N65" si="41">+M64-M63</f>
        <v>12375244</v>
      </c>
      <c r="N65" s="66">
        <f t="shared" si="41"/>
        <v>14221165</v>
      </c>
      <c r="O65" s="66">
        <f t="shared" ref="O65:P65" si="42">+O64-O63</f>
        <v>14622279</v>
      </c>
      <c r="P65" s="66">
        <f t="shared" si="42"/>
        <v>6875186</v>
      </c>
      <c r="Q65" s="66">
        <f t="shared" ref="Q65:R65" si="43">+Q64-Q63</f>
        <v>5834983</v>
      </c>
      <c r="R65" s="66">
        <f t="shared" si="43"/>
        <v>6022121</v>
      </c>
      <c r="S65" s="66">
        <f>+S64-S63</f>
        <v>5126670</v>
      </c>
      <c r="T65" s="66">
        <f>+T64-T63</f>
        <v>5056255</v>
      </c>
      <c r="U65" s="139">
        <f t="shared" si="39"/>
        <v>104.86</v>
      </c>
      <c r="V65" s="139">
        <f>ROUND(T65/$T$80,2)</f>
        <v>102.64</v>
      </c>
    </row>
    <row r="66" spans="2:23" ht="15" customHeight="1" x14ac:dyDescent="0.25">
      <c r="C66" t="s">
        <v>195</v>
      </c>
      <c r="D66" s="8">
        <f t="shared" ref="D66:K66" si="44">IF(ABS(D64)=0,"",+D63/D64)</f>
        <v>0.889411284220053</v>
      </c>
      <c r="E66" s="8">
        <f t="shared" si="44"/>
        <v>0.88735511889935637</v>
      </c>
      <c r="F66" s="8">
        <f t="shared" si="44"/>
        <v>0.66511651592666399</v>
      </c>
      <c r="G66" s="127">
        <v>0.89065664825542989</v>
      </c>
      <c r="H66" s="8">
        <f t="shared" si="44"/>
        <v>0.69977785536181192</v>
      </c>
      <c r="I66" s="8">
        <f t="shared" si="44"/>
        <v>0.70834887845439187</v>
      </c>
      <c r="J66" s="8">
        <f t="shared" si="44"/>
        <v>0.69451447982693604</v>
      </c>
      <c r="K66" s="67">
        <f t="shared" si="44"/>
        <v>0.62404297802140207</v>
      </c>
      <c r="L66" s="67">
        <f t="shared" ref="L66:Q66" si="45">IF(ABS(L64)=0,"",+L63/L64)</f>
        <v>0.6076491411543371</v>
      </c>
      <c r="M66" s="67">
        <f t="shared" si="45"/>
        <v>0.65521668737276006</v>
      </c>
      <c r="N66" s="67">
        <f t="shared" si="45"/>
        <v>0.62913474366026223</v>
      </c>
      <c r="O66" s="67">
        <f t="shared" si="45"/>
        <v>0.63488084850253934</v>
      </c>
      <c r="P66" s="67">
        <f t="shared" si="45"/>
        <v>0.7873495817364492</v>
      </c>
      <c r="Q66" s="67">
        <f t="shared" si="45"/>
        <v>0.81914269918173221</v>
      </c>
      <c r="R66" s="67">
        <f t="shared" ref="R66" si="46">IF(ABS(R64)=0,"",+R63/R64)</f>
        <v>0.81483055675968963</v>
      </c>
      <c r="S66" s="67">
        <f>IF(ABS(S64)=0,"",+S63/S64)</f>
        <v>0.83891244225556827</v>
      </c>
      <c r="T66" s="67">
        <f>IF(ABS(T64)=0,"",+T63/T64)</f>
        <v>0.84554719219353747</v>
      </c>
      <c r="U66" s="142"/>
      <c r="V66" s="142"/>
    </row>
    <row r="67" spans="2:23" ht="15" customHeight="1" x14ac:dyDescent="0.25">
      <c r="U67" s="141"/>
      <c r="V67" s="141"/>
    </row>
    <row r="68" spans="2:23" ht="15" customHeight="1" x14ac:dyDescent="0.25">
      <c r="B68" s="15"/>
      <c r="D68" s="15"/>
      <c r="E68" s="15"/>
      <c r="F68" s="15"/>
      <c r="G68" s="15"/>
      <c r="H68" s="15"/>
      <c r="I68" s="15"/>
      <c r="J68" s="15"/>
      <c r="K68" s="15"/>
      <c r="L68" s="15"/>
      <c r="M68" s="15"/>
      <c r="N68" s="15"/>
      <c r="O68" s="15"/>
      <c r="P68" s="15"/>
      <c r="Q68" s="15"/>
      <c r="R68" s="15"/>
      <c r="S68" s="15"/>
      <c r="T68" s="15"/>
      <c r="U68" s="141"/>
      <c r="V68" s="141"/>
    </row>
    <row r="69" spans="2:23" ht="15" customHeight="1" x14ac:dyDescent="0.25">
      <c r="B69" s="15" t="s">
        <v>155</v>
      </c>
      <c r="C69" s="15"/>
      <c r="U69" s="141"/>
      <c r="V69" s="141"/>
    </row>
    <row r="70" spans="2:23" ht="15" customHeight="1" x14ac:dyDescent="0.25">
      <c r="B70" s="22" t="s">
        <v>118</v>
      </c>
      <c r="C70" s="15"/>
      <c r="D70" s="42">
        <v>590000</v>
      </c>
      <c r="E70" s="42">
        <v>625000</v>
      </c>
      <c r="F70" s="42">
        <v>11885000</v>
      </c>
      <c r="G70" s="42">
        <v>11440000</v>
      </c>
      <c r="H70" s="42">
        <v>10960000</v>
      </c>
      <c r="I70" s="42">
        <v>10415000</v>
      </c>
      <c r="J70" s="42">
        <v>16315203</v>
      </c>
      <c r="K70" s="62">
        <f>15430000+14172</f>
        <v>15444172</v>
      </c>
      <c r="L70" s="62">
        <f>14750000+13141</f>
        <v>14763141</v>
      </c>
      <c r="M70" s="62">
        <f>13920000+12110</f>
        <v>13932110</v>
      </c>
      <c r="N70" s="62">
        <f>12770000+11079</f>
        <v>12781079</v>
      </c>
      <c r="O70" s="62">
        <f>SUM(11662000+10048)</f>
        <v>11672048</v>
      </c>
      <c r="P70" s="62">
        <v>10685017</v>
      </c>
      <c r="Q70" s="62">
        <f>9661000+7986</f>
        <v>9668986</v>
      </c>
      <c r="R70" s="62">
        <f>8617000+6955</f>
        <v>8623955</v>
      </c>
      <c r="S70" s="62">
        <f>7538000+5924</f>
        <v>7543924</v>
      </c>
      <c r="T70" s="62">
        <f>6435000+4893</f>
        <v>6439893</v>
      </c>
      <c r="U70" s="139">
        <f>ROUND(S70/$S$80,2)</f>
        <v>154.30000000000001</v>
      </c>
      <c r="V70" s="139">
        <f>ROUND(T70/$T$80,2)</f>
        <v>130.72999999999999</v>
      </c>
    </row>
    <row r="71" spans="2:23" ht="15" customHeight="1" x14ac:dyDescent="0.25">
      <c r="B71" s="22" t="s">
        <v>33</v>
      </c>
      <c r="C71" s="15"/>
      <c r="D71" s="42"/>
      <c r="E71" s="42"/>
      <c r="F71" s="42"/>
      <c r="G71" s="42"/>
      <c r="H71" s="42"/>
      <c r="I71" s="42"/>
      <c r="J71" s="42"/>
      <c r="K71" s="62"/>
      <c r="L71" s="62"/>
      <c r="M71" s="62"/>
      <c r="N71" s="62"/>
      <c r="O71" s="62"/>
      <c r="P71" s="62"/>
      <c r="Q71" s="62"/>
      <c r="R71" s="62"/>
      <c r="S71" s="62"/>
      <c r="T71" s="62"/>
      <c r="U71" s="139"/>
      <c r="V71" s="139"/>
    </row>
    <row r="72" spans="2:23" ht="15" customHeight="1" x14ac:dyDescent="0.25">
      <c r="B72" s="22" t="s">
        <v>198</v>
      </c>
      <c r="C72" s="15"/>
      <c r="D72" s="42"/>
      <c r="E72" s="42"/>
      <c r="F72" s="42"/>
      <c r="G72" s="42"/>
      <c r="H72" s="42"/>
      <c r="I72" s="42"/>
      <c r="J72" s="134"/>
      <c r="K72" s="62"/>
      <c r="L72" s="72"/>
      <c r="M72" s="72"/>
      <c r="N72" s="72"/>
      <c r="O72" s="156"/>
      <c r="P72" s="156"/>
      <c r="Q72" s="156"/>
      <c r="R72" s="156"/>
      <c r="S72" s="261"/>
      <c r="T72" s="261"/>
      <c r="U72" s="164"/>
      <c r="V72" s="164"/>
    </row>
    <row r="73" spans="2:23" ht="15" customHeight="1" x14ac:dyDescent="0.25">
      <c r="B73" s="18" t="s">
        <v>126</v>
      </c>
      <c r="C73" s="16"/>
      <c r="D73" s="135">
        <f t="shared" ref="D73:J73" si="47">SUM(D69:D72)</f>
        <v>590000</v>
      </c>
      <c r="E73" s="135">
        <f t="shared" si="47"/>
        <v>625000</v>
      </c>
      <c r="F73" s="135">
        <f t="shared" si="47"/>
        <v>11885000</v>
      </c>
      <c r="G73" s="135">
        <f t="shared" si="47"/>
        <v>11440000</v>
      </c>
      <c r="H73" s="135">
        <f t="shared" si="47"/>
        <v>10960000</v>
      </c>
      <c r="I73" s="135">
        <f t="shared" si="47"/>
        <v>10415000</v>
      </c>
      <c r="J73" s="135">
        <f t="shared" si="47"/>
        <v>16315203</v>
      </c>
      <c r="K73" s="69">
        <f t="shared" ref="K73:P73" si="48">SUM(K70:K72)</f>
        <v>15444172</v>
      </c>
      <c r="L73" s="69">
        <f t="shared" si="48"/>
        <v>14763141</v>
      </c>
      <c r="M73" s="69">
        <f t="shared" si="48"/>
        <v>13932110</v>
      </c>
      <c r="N73" s="69">
        <f t="shared" si="48"/>
        <v>12781079</v>
      </c>
      <c r="O73" s="69">
        <f t="shared" si="48"/>
        <v>11672048</v>
      </c>
      <c r="P73" s="69">
        <f t="shared" si="48"/>
        <v>10685017</v>
      </c>
      <c r="Q73" s="69">
        <f t="shared" ref="Q73:T73" si="49">SUM(Q70:Q72)</f>
        <v>9668986</v>
      </c>
      <c r="R73" s="69">
        <f t="shared" si="49"/>
        <v>8623955</v>
      </c>
      <c r="S73" s="69">
        <f t="shared" si="49"/>
        <v>7543924</v>
      </c>
      <c r="T73" s="69">
        <f t="shared" si="49"/>
        <v>6439893</v>
      </c>
      <c r="U73" s="139">
        <f>ROUND(S73/$S$80,2)</f>
        <v>154.30000000000001</v>
      </c>
      <c r="V73" s="139">
        <f>ROUND(T73/$T$80,2)</f>
        <v>130.72999999999999</v>
      </c>
    </row>
    <row r="74" spans="2:23" ht="15" customHeight="1" x14ac:dyDescent="0.25">
      <c r="B74" s="15" t="s">
        <v>134</v>
      </c>
      <c r="C74" s="15"/>
      <c r="D74" s="42">
        <v>775127</v>
      </c>
      <c r="E74" s="42">
        <v>709211</v>
      </c>
      <c r="F74" s="42">
        <v>653947</v>
      </c>
      <c r="G74" s="42">
        <v>615453</v>
      </c>
      <c r="H74" s="42">
        <v>601071</v>
      </c>
      <c r="I74" s="42">
        <v>472716</v>
      </c>
      <c r="J74" s="42">
        <v>460946</v>
      </c>
      <c r="K74" s="62">
        <v>453407</v>
      </c>
      <c r="L74" s="62">
        <v>400411</v>
      </c>
      <c r="M74" s="62">
        <v>430532</v>
      </c>
      <c r="N74" s="62">
        <v>420764</v>
      </c>
      <c r="O74" s="62">
        <v>395579</v>
      </c>
      <c r="P74" s="62">
        <v>455916</v>
      </c>
      <c r="Q74" s="62">
        <v>433165</v>
      </c>
      <c r="R74" s="62">
        <v>467573</v>
      </c>
      <c r="S74" s="62">
        <v>463786</v>
      </c>
      <c r="T74" s="62">
        <v>527905</v>
      </c>
      <c r="U74" s="139">
        <f>ROUND(S74/$S$80,2)</f>
        <v>9.49</v>
      </c>
      <c r="V74" s="139">
        <f>ROUND(T74/$T$80,2)</f>
        <v>10.72</v>
      </c>
    </row>
    <row r="75" spans="2:23" ht="15" customHeight="1" x14ac:dyDescent="0.25">
      <c r="B75" s="15" t="s">
        <v>140</v>
      </c>
      <c r="C75" s="15"/>
      <c r="D75" s="42"/>
      <c r="E75" s="42"/>
      <c r="F75" s="42"/>
      <c r="G75" s="42"/>
      <c r="H75" s="42"/>
      <c r="I75" s="42"/>
      <c r="J75" s="42"/>
      <c r="K75" s="62"/>
      <c r="L75" s="62"/>
      <c r="M75" s="62"/>
      <c r="N75" s="62"/>
      <c r="O75" s="62"/>
      <c r="P75" s="62"/>
      <c r="Q75" s="62"/>
      <c r="R75" s="62"/>
      <c r="S75" s="62"/>
      <c r="T75" s="62"/>
      <c r="U75" s="139"/>
      <c r="V75" s="139"/>
    </row>
    <row r="76" spans="2:23" ht="15" customHeight="1" x14ac:dyDescent="0.25">
      <c r="B76" s="15" t="s">
        <v>98</v>
      </c>
      <c r="C76" s="15"/>
      <c r="D76" s="42"/>
      <c r="E76" s="42"/>
      <c r="F76" s="42"/>
      <c r="G76" s="42"/>
      <c r="H76" s="42"/>
      <c r="I76" s="42"/>
      <c r="J76" s="42"/>
      <c r="K76" s="62"/>
      <c r="L76" s="62"/>
      <c r="M76" s="62"/>
      <c r="N76" s="62"/>
      <c r="O76" s="62"/>
      <c r="P76" s="62"/>
      <c r="Q76" s="62"/>
      <c r="R76" s="62"/>
      <c r="S76" s="62"/>
      <c r="T76" s="62"/>
      <c r="U76" s="139"/>
      <c r="V76" s="139"/>
    </row>
    <row r="77" spans="2:23" ht="15" customHeight="1" x14ac:dyDescent="0.25">
      <c r="B77" s="15" t="s">
        <v>125</v>
      </c>
      <c r="C77" s="15"/>
      <c r="D77" s="42"/>
      <c r="E77" s="42"/>
      <c r="F77" s="42"/>
      <c r="G77" s="42"/>
      <c r="H77" s="42"/>
      <c r="I77" s="42"/>
      <c r="J77" s="42"/>
      <c r="K77" s="62"/>
      <c r="L77" s="62"/>
      <c r="M77" s="62"/>
      <c r="N77" s="62"/>
      <c r="O77" s="62"/>
      <c r="P77" s="62"/>
      <c r="Q77" s="62"/>
      <c r="R77" s="62"/>
      <c r="S77" s="62"/>
      <c r="T77" s="62"/>
      <c r="U77" s="139"/>
      <c r="V77" s="139"/>
    </row>
    <row r="78" spans="2:23" ht="15.75" customHeight="1" thickBot="1" x14ac:dyDescent="0.3">
      <c r="B78" s="15"/>
      <c r="C78" s="15" t="s">
        <v>8</v>
      </c>
      <c r="D78" s="136">
        <f t="shared" ref="D78:I78" si="50">SUM(D73:D77)</f>
        <v>1365127</v>
      </c>
      <c r="E78" s="136">
        <f t="shared" si="50"/>
        <v>1334211</v>
      </c>
      <c r="F78" s="136">
        <f t="shared" si="50"/>
        <v>12538947</v>
      </c>
      <c r="G78" s="136">
        <f t="shared" si="50"/>
        <v>12055453</v>
      </c>
      <c r="H78" s="136">
        <f t="shared" si="50"/>
        <v>11561071</v>
      </c>
      <c r="I78" s="136">
        <f t="shared" si="50"/>
        <v>10887716</v>
      </c>
      <c r="J78" s="136">
        <f t="shared" ref="J78:N78" si="51">SUM(J73:J77)</f>
        <v>16776149</v>
      </c>
      <c r="K78" s="64">
        <f t="shared" si="51"/>
        <v>15897579</v>
      </c>
      <c r="L78" s="64">
        <f t="shared" si="51"/>
        <v>15163552</v>
      </c>
      <c r="M78" s="64">
        <f t="shared" si="51"/>
        <v>14362642</v>
      </c>
      <c r="N78" s="64">
        <f t="shared" si="51"/>
        <v>13201843</v>
      </c>
      <c r="O78" s="64">
        <f t="shared" ref="O78:T78" si="52">SUM(O73:O77)</f>
        <v>12067627</v>
      </c>
      <c r="P78" s="64">
        <f t="shared" si="52"/>
        <v>11140933</v>
      </c>
      <c r="Q78" s="64">
        <f t="shared" si="52"/>
        <v>10102151</v>
      </c>
      <c r="R78" s="64">
        <f t="shared" si="52"/>
        <v>9091528</v>
      </c>
      <c r="S78" s="64">
        <f>SUM(S73:S77)</f>
        <v>8007710</v>
      </c>
      <c r="T78" s="64">
        <f t="shared" si="52"/>
        <v>6967798</v>
      </c>
      <c r="U78" s="207">
        <f>ROUND(S78/$S$80,2)</f>
        <v>163.78</v>
      </c>
      <c r="V78" s="207">
        <f>ROUND(T78/$T$80,2)</f>
        <v>141.44</v>
      </c>
    </row>
    <row r="79" spans="2:23" ht="15.75" customHeight="1" thickTop="1" x14ac:dyDescent="0.25"/>
    <row r="80" spans="2:23" ht="15" customHeight="1" x14ac:dyDescent="0.25">
      <c r="B80" s="12" t="s">
        <v>48</v>
      </c>
      <c r="C80" s="19"/>
      <c r="D80" s="21"/>
      <c r="E80" s="21">
        <v>49368</v>
      </c>
      <c r="F80" s="21">
        <v>49193</v>
      </c>
      <c r="G80" s="21">
        <v>49252</v>
      </c>
      <c r="H80" s="21">
        <v>49072</v>
      </c>
      <c r="I80" s="21">
        <v>48686</v>
      </c>
      <c r="J80" s="21">
        <v>48460</v>
      </c>
      <c r="K80" s="62">
        <v>48352</v>
      </c>
      <c r="L80" s="62">
        <v>47959</v>
      </c>
      <c r="M80" s="62">
        <v>48001</v>
      </c>
      <c r="N80" s="62">
        <v>47900</v>
      </c>
      <c r="O80" s="62">
        <v>47948</v>
      </c>
      <c r="P80" s="62">
        <v>47938</v>
      </c>
      <c r="Q80" s="62">
        <v>48242</v>
      </c>
      <c r="R80" s="62">
        <v>48325</v>
      </c>
      <c r="S80" s="62">
        <v>48892</v>
      </c>
      <c r="T80" s="62">
        <v>49262</v>
      </c>
      <c r="W80" t="s">
        <v>327</v>
      </c>
    </row>
    <row r="82" spans="2:20" ht="15" customHeight="1" x14ac:dyDescent="0.25">
      <c r="B82" s="12" t="s">
        <v>72</v>
      </c>
    </row>
    <row r="83" spans="2:20" ht="15" customHeight="1" x14ac:dyDescent="0.25">
      <c r="B83" s="121" t="s">
        <v>335</v>
      </c>
      <c r="C83" s="45"/>
      <c r="D83" s="45"/>
      <c r="E83" s="45"/>
      <c r="F83" s="45"/>
      <c r="G83" s="45"/>
      <c r="H83" s="45"/>
      <c r="I83" s="45"/>
      <c r="J83" s="45"/>
      <c r="K83" s="45"/>
      <c r="L83" s="45"/>
      <c r="M83" s="45"/>
      <c r="N83" s="45"/>
      <c r="O83" s="45"/>
      <c r="P83" s="45"/>
      <c r="Q83" s="45"/>
      <c r="R83" s="45"/>
      <c r="S83" s="45"/>
      <c r="T83" s="45"/>
    </row>
    <row r="90" spans="2:20" ht="15" customHeight="1" x14ac:dyDescent="0.25">
      <c r="B90" s="13" t="s">
        <v>29</v>
      </c>
      <c r="C90" s="13"/>
      <c r="D90" s="13"/>
      <c r="E90" s="13"/>
      <c r="F90" s="13"/>
      <c r="G90" s="13"/>
      <c r="H90" s="13"/>
      <c r="I90" s="13"/>
      <c r="J90" s="13"/>
      <c r="K90" s="13"/>
      <c r="L90" s="13"/>
      <c r="M90" s="13"/>
      <c r="N90" s="13"/>
      <c r="O90" s="13"/>
      <c r="P90" s="13"/>
      <c r="Q90" s="13"/>
      <c r="R90" s="13"/>
      <c r="S90" s="13"/>
      <c r="T90" s="13"/>
    </row>
    <row r="91" spans="2:20" ht="17.25" customHeight="1" x14ac:dyDescent="0.25">
      <c r="B91" s="13" t="s">
        <v>45</v>
      </c>
      <c r="C91" s="23">
        <v>1</v>
      </c>
      <c r="D91" s="14">
        <f t="shared" ref="D91:L91" si="53">+D3</f>
        <v>2004</v>
      </c>
      <c r="E91" s="14">
        <f t="shared" si="53"/>
        <v>2005</v>
      </c>
      <c r="F91" s="14">
        <f t="shared" si="53"/>
        <v>2006</v>
      </c>
      <c r="G91" s="14">
        <f t="shared" si="53"/>
        <v>2007</v>
      </c>
      <c r="H91" s="14">
        <f t="shared" si="53"/>
        <v>2008</v>
      </c>
      <c r="I91" s="14">
        <f t="shared" si="53"/>
        <v>2009</v>
      </c>
      <c r="J91" s="14">
        <f t="shared" si="53"/>
        <v>2010</v>
      </c>
      <c r="K91" s="70">
        <f t="shared" si="53"/>
        <v>2011</v>
      </c>
      <c r="L91" s="70">
        <f t="shared" si="53"/>
        <v>2012</v>
      </c>
      <c r="M91" s="70">
        <v>2013</v>
      </c>
      <c r="N91" s="70">
        <v>2014</v>
      </c>
      <c r="O91" s="70">
        <v>2015</v>
      </c>
      <c r="P91" s="70">
        <v>2016</v>
      </c>
      <c r="Q91" s="70">
        <v>2017</v>
      </c>
      <c r="R91" s="70">
        <v>2018</v>
      </c>
      <c r="S91" s="70">
        <v>2019</v>
      </c>
      <c r="T91" s="70">
        <v>2020</v>
      </c>
    </row>
    <row r="92" spans="2:20" ht="15" customHeight="1" x14ac:dyDescent="0.25">
      <c r="B92" s="13"/>
      <c r="C92" s="23" t="str">
        <f>INDEX(C6:C15,C91)</f>
        <v>Taxes</v>
      </c>
      <c r="D92" s="13">
        <f t="shared" ref="D92:I92" si="54">INDEX(D$6:D$15,$C$91)</f>
        <v>0</v>
      </c>
      <c r="E92" s="13">
        <f t="shared" si="54"/>
        <v>9717586</v>
      </c>
      <c r="F92" s="13">
        <f t="shared" si="54"/>
        <v>10450184</v>
      </c>
      <c r="G92" s="13">
        <f t="shared" si="54"/>
        <v>11325400</v>
      </c>
      <c r="H92" s="13">
        <f t="shared" si="54"/>
        <v>9910428</v>
      </c>
      <c r="I92" s="13">
        <f t="shared" si="54"/>
        <v>10175382</v>
      </c>
      <c r="J92" s="13">
        <f t="shared" ref="J92:P92" si="55">INDEX(J$6:J$15,$C$91)</f>
        <v>10177582</v>
      </c>
      <c r="K92" s="66">
        <f t="shared" si="55"/>
        <v>10092615</v>
      </c>
      <c r="L92" s="66">
        <f t="shared" si="55"/>
        <v>9660447</v>
      </c>
      <c r="M92" s="139">
        <f t="shared" si="55"/>
        <v>9986552</v>
      </c>
      <c r="N92" s="139">
        <f t="shared" si="55"/>
        <v>9671671</v>
      </c>
      <c r="O92" s="139">
        <f t="shared" si="55"/>
        <v>9922262</v>
      </c>
      <c r="P92" s="139">
        <f t="shared" si="55"/>
        <v>10044372</v>
      </c>
      <c r="Q92" s="139">
        <f>INDEX(Q$6:Q$15,$C$91)</f>
        <v>10215215</v>
      </c>
      <c r="R92" s="139">
        <f>INDEX(R$6:R$15,$C$91)</f>
        <v>11140385</v>
      </c>
      <c r="S92" s="139">
        <f>INDEX(S$6:S$15,$C$91)</f>
        <v>11552063</v>
      </c>
      <c r="T92" s="139">
        <f>INDEX(T$6:T$15,$C$91)</f>
        <v>11967619</v>
      </c>
    </row>
    <row r="93" spans="2:20" ht="15" customHeight="1" x14ac:dyDescent="0.25">
      <c r="B93" s="13" t="s">
        <v>196</v>
      </c>
      <c r="C93" s="23">
        <v>1</v>
      </c>
      <c r="D93" s="13"/>
      <c r="E93" s="13"/>
      <c r="F93" s="13"/>
      <c r="G93" s="13"/>
      <c r="H93" s="13"/>
      <c r="I93" s="13"/>
      <c r="J93" s="13"/>
      <c r="K93" s="66"/>
      <c r="L93" s="66"/>
      <c r="M93" s="139"/>
      <c r="N93" s="139"/>
      <c r="O93" s="139"/>
      <c r="P93" s="139"/>
      <c r="Q93" s="139"/>
      <c r="R93" s="139"/>
      <c r="S93" s="139"/>
      <c r="T93" s="139"/>
    </row>
    <row r="94" spans="2:20" ht="15" customHeight="1" x14ac:dyDescent="0.25">
      <c r="B94" s="13"/>
      <c r="C94" s="23" t="str">
        <f>INDEX(C$17:C$27,$C$93)</f>
        <v>General Government</v>
      </c>
      <c r="D94" s="13">
        <f t="shared" ref="D94:L94" si="56">INDEX(D$17:D$27,$C$93)</f>
        <v>5906565</v>
      </c>
      <c r="E94" s="13">
        <f t="shared" si="56"/>
        <v>6151812</v>
      </c>
      <c r="F94" s="13">
        <f t="shared" si="56"/>
        <v>6994217</v>
      </c>
      <c r="G94" s="13">
        <f t="shared" si="56"/>
        <v>7319554</v>
      </c>
      <c r="H94" s="13">
        <f t="shared" si="56"/>
        <v>7521026</v>
      </c>
      <c r="I94" s="13">
        <f t="shared" si="56"/>
        <v>7776383</v>
      </c>
      <c r="J94" s="13">
        <f t="shared" si="56"/>
        <v>7685846</v>
      </c>
      <c r="K94" s="66">
        <f>INDEX(K$17:K$27,$C$93)</f>
        <v>7624351</v>
      </c>
      <c r="L94" s="66">
        <f t="shared" si="56"/>
        <v>7565090</v>
      </c>
      <c r="M94" s="139">
        <f t="shared" ref="M94:T94" si="57">INDEX(M$17:M$27,$C$93)</f>
        <v>7684003</v>
      </c>
      <c r="N94" s="139">
        <f t="shared" si="57"/>
        <v>8011136</v>
      </c>
      <c r="O94" s="139">
        <f t="shared" si="57"/>
        <v>7862393</v>
      </c>
      <c r="P94" s="139">
        <f t="shared" si="57"/>
        <v>8006342</v>
      </c>
      <c r="Q94" s="139">
        <f t="shared" si="57"/>
        <v>8457029</v>
      </c>
      <c r="R94" s="139">
        <f t="shared" si="57"/>
        <v>8397415</v>
      </c>
      <c r="S94" s="139">
        <f t="shared" si="57"/>
        <v>9749340</v>
      </c>
      <c r="T94" s="139">
        <f t="shared" si="57"/>
        <v>9355259</v>
      </c>
    </row>
  </sheetData>
  <sheetProtection formatCells="0" formatColumns="0" formatRows="0" insertColumns="0" insertRows="0" insertHyperlinks="0" deleteColumns="0" deleteRows="0" sort="0" autoFilter="0" pivotTables="0"/>
  <mergeCells count="1">
    <mergeCell ref="U1:V1"/>
  </mergeCells>
  <phoneticPr fontId="23" type="noConversion"/>
  <printOptions horizontalCentered="1"/>
  <pageMargins left="0.2" right="0.2" top="0.5" bottom="0.5" header="0.3" footer="0.3"/>
  <pageSetup scale="46" fitToHeight="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M39"/>
  <sheetViews>
    <sheetView showGridLines="0" tabSelected="1" zoomScale="110" zoomScaleNormal="110" workbookViewId="0">
      <selection activeCell="P13" sqref="P13"/>
    </sheetView>
  </sheetViews>
  <sheetFormatPr defaultColWidth="4.28515625" defaultRowHeight="15" customHeight="1" x14ac:dyDescent="0.25"/>
  <cols>
    <col min="1" max="1" width="3.7109375" style="113" customWidth="1"/>
    <col min="2" max="6" width="12.140625" style="113" customWidth="1"/>
    <col min="7" max="7" width="4.42578125" style="113" customWidth="1"/>
    <col min="8" max="8" width="8.28515625" style="113" customWidth="1"/>
    <col min="9" max="9" width="12.140625" style="113" customWidth="1"/>
    <col min="10" max="10" width="9.140625" style="113" customWidth="1"/>
    <col min="11" max="11" width="13.85546875" style="113" customWidth="1"/>
    <col min="12" max="12" width="14.42578125" style="113" customWidth="1"/>
    <col min="13" max="13" width="14.7109375" style="113" bestFit="1" customWidth="1"/>
    <col min="14" max="14" width="4.140625" style="113" customWidth="1"/>
    <col min="15" max="15" width="4.28515625" style="113" customWidth="1"/>
    <col min="16" max="16384" width="4.28515625" style="113"/>
  </cols>
  <sheetData>
    <row r="1" spans="2:13" s="166" customFormat="1" ht="15.75" customHeight="1" x14ac:dyDescent="0.25">
      <c r="B1" s="165" t="str">
        <f>+'Data Input'!B1</f>
        <v xml:space="preserve">CITIZENS' GUIDE TO LOCAL UNIT FINANCES - Newaygo County </v>
      </c>
      <c r="F1" s="198"/>
      <c r="G1" s="198"/>
      <c r="H1" s="198"/>
      <c r="I1" s="199" t="s">
        <v>188</v>
      </c>
    </row>
    <row r="2" spans="2:13" ht="25.5" customHeight="1" x14ac:dyDescent="0.25">
      <c r="B2" s="169"/>
      <c r="F2" s="200"/>
      <c r="G2" s="200"/>
      <c r="H2" s="200"/>
      <c r="M2" s="170"/>
    </row>
    <row r="3" spans="2:13" ht="15.75" customHeight="1" x14ac:dyDescent="0.25">
      <c r="B3" s="272" t="s">
        <v>57</v>
      </c>
      <c r="C3" s="273"/>
      <c r="D3" s="273"/>
      <c r="E3" s="273"/>
      <c r="F3" s="235"/>
      <c r="G3" s="245"/>
      <c r="I3" s="272" t="s">
        <v>171</v>
      </c>
      <c r="J3" s="273"/>
      <c r="K3" s="273"/>
      <c r="L3" s="235"/>
      <c r="M3" s="245"/>
    </row>
    <row r="4" spans="2:13" ht="15.75" customHeight="1" x14ac:dyDescent="0.25">
      <c r="B4" s="230"/>
      <c r="C4" s="112"/>
      <c r="D4" s="112"/>
      <c r="E4" s="112"/>
      <c r="F4" s="112"/>
      <c r="G4" s="231"/>
      <c r="I4" s="246"/>
      <c r="J4" s="201"/>
      <c r="K4" s="201"/>
      <c r="L4" s="112"/>
      <c r="M4" s="231"/>
    </row>
    <row r="5" spans="2:13" ht="15.75" customHeight="1" x14ac:dyDescent="0.25">
      <c r="B5" s="230"/>
      <c r="C5" s="112"/>
      <c r="D5" s="112"/>
      <c r="E5" s="112"/>
      <c r="F5" s="112"/>
      <c r="G5" s="231"/>
      <c r="I5" s="236" t="s">
        <v>323</v>
      </c>
      <c r="J5" s="237"/>
      <c r="K5" s="154">
        <v>2019</v>
      </c>
      <c r="L5" s="154">
        <v>2020</v>
      </c>
      <c r="M5" s="247" t="s">
        <v>124</v>
      </c>
    </row>
    <row r="6" spans="2:13" ht="15.75" customHeight="1" x14ac:dyDescent="0.25">
      <c r="B6" s="230"/>
      <c r="C6" s="112"/>
      <c r="D6" s="112"/>
      <c r="E6" s="112"/>
      <c r="F6" s="112"/>
      <c r="G6" s="231"/>
      <c r="I6" s="274" t="s">
        <v>214</v>
      </c>
      <c r="J6" s="275"/>
      <c r="K6" s="248">
        <f>+'Data Input'!S6</f>
        <v>11552063</v>
      </c>
      <c r="L6" s="248">
        <f>+'Data Input'!T6</f>
        <v>11967619</v>
      </c>
      <c r="M6" s="249">
        <f t="shared" ref="M6:M15" si="0">(L6-K6)/K6</f>
        <v>3.5972449249973795E-2</v>
      </c>
    </row>
    <row r="7" spans="2:13" ht="15.75" customHeight="1" x14ac:dyDescent="0.25">
      <c r="B7" s="230"/>
      <c r="C7" s="112"/>
      <c r="D7" s="112"/>
      <c r="E7" s="112"/>
      <c r="F7" s="112"/>
      <c r="G7" s="231"/>
      <c r="I7" s="270" t="s">
        <v>178</v>
      </c>
      <c r="J7" s="271"/>
      <c r="K7" s="121">
        <f>+'Data Input'!S7</f>
        <v>67081</v>
      </c>
      <c r="L7" s="121">
        <f>+'Data Input'!T7</f>
        <v>71716</v>
      </c>
      <c r="M7" s="250">
        <f t="shared" si="0"/>
        <v>6.9095571026072958E-2</v>
      </c>
    </row>
    <row r="8" spans="2:13" ht="15.75" customHeight="1" x14ac:dyDescent="0.25">
      <c r="B8" s="230"/>
      <c r="C8" s="112"/>
      <c r="D8" s="112"/>
      <c r="E8" s="112"/>
      <c r="F8" s="112"/>
      <c r="G8" s="231"/>
      <c r="I8" s="270" t="s">
        <v>53</v>
      </c>
      <c r="J8" s="271"/>
      <c r="K8" s="121">
        <f>+'Data Input'!S8</f>
        <v>1221320</v>
      </c>
      <c r="L8" s="121">
        <f>+'Data Input'!T8</f>
        <v>2515416</v>
      </c>
      <c r="M8" s="251">
        <f t="shared" si="0"/>
        <v>1.0595879867684146</v>
      </c>
    </row>
    <row r="9" spans="2:13" ht="15.75" customHeight="1" x14ac:dyDescent="0.25">
      <c r="B9" s="230"/>
      <c r="C9" s="112"/>
      <c r="D9" s="112"/>
      <c r="E9" s="112"/>
      <c r="F9" s="112"/>
      <c r="G9" s="231"/>
      <c r="I9" s="270" t="s">
        <v>200</v>
      </c>
      <c r="J9" s="271"/>
      <c r="K9" s="121">
        <f>+'Data Input'!S9</f>
        <v>3372912</v>
      </c>
      <c r="L9" s="121">
        <f>+'Data Input'!T9</f>
        <v>2900479</v>
      </c>
      <c r="M9" s="252">
        <f t="shared" si="0"/>
        <v>-0.14006680281015335</v>
      </c>
    </row>
    <row r="10" spans="2:13" ht="15.75" customHeight="1" x14ac:dyDescent="0.25">
      <c r="B10" s="230"/>
      <c r="C10" s="112"/>
      <c r="D10" s="112"/>
      <c r="E10" s="112"/>
      <c r="F10" s="112"/>
      <c r="G10" s="231"/>
      <c r="I10" s="270" t="s">
        <v>1</v>
      </c>
      <c r="J10" s="271"/>
      <c r="K10" s="121">
        <f>+'Data Input'!S10</f>
        <v>329883</v>
      </c>
      <c r="L10" s="121">
        <f>+'Data Input'!T10</f>
        <v>325377</v>
      </c>
      <c r="M10" s="251">
        <f t="shared" si="0"/>
        <v>-1.3659388328589227E-2</v>
      </c>
    </row>
    <row r="11" spans="2:13" ht="15.75" customHeight="1" x14ac:dyDescent="0.25">
      <c r="B11" s="230"/>
      <c r="C11" s="112"/>
      <c r="D11" s="112"/>
      <c r="E11" s="112"/>
      <c r="F11" s="112"/>
      <c r="G11" s="231"/>
      <c r="I11" s="270" t="s">
        <v>159</v>
      </c>
      <c r="J11" s="271"/>
      <c r="K11" s="121">
        <f>+'Data Input'!S11</f>
        <v>8828770</v>
      </c>
      <c r="L11" s="121">
        <f>+'Data Input'!T11</f>
        <v>9460713</v>
      </c>
      <c r="M11" s="252">
        <f t="shared" si="0"/>
        <v>7.1577694288105814E-2</v>
      </c>
    </row>
    <row r="12" spans="2:13" ht="15.75" customHeight="1" x14ac:dyDescent="0.25">
      <c r="B12" s="230"/>
      <c r="C12" s="112"/>
      <c r="D12" s="112"/>
      <c r="E12" s="112"/>
      <c r="F12" s="112"/>
      <c r="G12" s="231"/>
      <c r="I12" s="270" t="s">
        <v>56</v>
      </c>
      <c r="J12" s="271"/>
      <c r="K12" s="121">
        <f>+'Data Input'!S12</f>
        <v>39794</v>
      </c>
      <c r="L12" s="121">
        <f>+'Data Input'!T12</f>
        <v>35503</v>
      </c>
      <c r="M12" s="252">
        <f t="shared" si="0"/>
        <v>-0.1078303261798261</v>
      </c>
    </row>
    <row r="13" spans="2:13" ht="15.75" customHeight="1" x14ac:dyDescent="0.25">
      <c r="B13" s="230"/>
      <c r="C13" s="112"/>
      <c r="D13" s="112"/>
      <c r="E13" s="112"/>
      <c r="F13" s="112"/>
      <c r="G13" s="231"/>
      <c r="I13" s="270" t="s">
        <v>6</v>
      </c>
      <c r="J13" s="271"/>
      <c r="K13" s="121">
        <f>+'Data Input'!S13</f>
        <v>388462</v>
      </c>
      <c r="L13" s="121">
        <f>+'Data Input'!T13</f>
        <v>275114</v>
      </c>
      <c r="M13" s="252">
        <f t="shared" si="0"/>
        <v>-0.29178658401593977</v>
      </c>
    </row>
    <row r="14" spans="2:13" ht="15.75" customHeight="1" thickBot="1" x14ac:dyDescent="0.3">
      <c r="B14" s="230"/>
      <c r="C14" s="112"/>
      <c r="D14" s="112"/>
      <c r="E14" s="112"/>
      <c r="F14" s="112"/>
      <c r="G14" s="231"/>
      <c r="I14" s="276" t="s">
        <v>143</v>
      </c>
      <c r="J14" s="277"/>
      <c r="K14" s="202">
        <f>+'Data Input'!S14</f>
        <v>1156775</v>
      </c>
      <c r="L14" s="202">
        <f>+'Data Input'!T14</f>
        <v>1833826</v>
      </c>
      <c r="M14" s="253">
        <f t="shared" si="0"/>
        <v>0.58529186747638906</v>
      </c>
    </row>
    <row r="15" spans="2:13" ht="15.75" customHeight="1" thickTop="1" x14ac:dyDescent="0.25">
      <c r="B15" s="230"/>
      <c r="C15" s="112"/>
      <c r="D15" s="112"/>
      <c r="E15" s="112"/>
      <c r="F15" s="112"/>
      <c r="G15" s="231"/>
      <c r="I15" s="241" t="s">
        <v>117</v>
      </c>
      <c r="J15" s="112"/>
      <c r="K15" s="110">
        <f>SUM(K6:K14)</f>
        <v>26957060</v>
      </c>
      <c r="L15" s="110">
        <f>SUM(L6:L14)</f>
        <v>29385763</v>
      </c>
      <c r="M15" s="254">
        <f t="shared" si="0"/>
        <v>9.0095247775536347E-2</v>
      </c>
    </row>
    <row r="16" spans="2:13" ht="15.75" customHeight="1" x14ac:dyDescent="0.25">
      <c r="B16" s="230"/>
      <c r="C16" s="112"/>
      <c r="D16" s="112"/>
      <c r="E16" s="112"/>
      <c r="F16" s="112"/>
      <c r="G16" s="231"/>
      <c r="I16" s="232"/>
      <c r="J16" s="233"/>
      <c r="K16" s="233"/>
      <c r="L16" s="233"/>
      <c r="M16" s="234"/>
    </row>
    <row r="17" spans="2:13" ht="4.5" customHeight="1" x14ac:dyDescent="0.25">
      <c r="B17" s="232"/>
      <c r="C17" s="233"/>
      <c r="D17" s="233"/>
      <c r="E17" s="233"/>
      <c r="F17" s="233"/>
      <c r="G17" s="234"/>
    </row>
    <row r="19" spans="2:13" ht="14.25" customHeight="1" x14ac:dyDescent="0.25">
      <c r="B19" s="228" t="s">
        <v>78</v>
      </c>
      <c r="C19" s="229"/>
      <c r="D19" s="229"/>
      <c r="E19" s="229"/>
      <c r="F19" s="229"/>
      <c r="G19" s="235"/>
      <c r="I19" s="278" t="s">
        <v>97</v>
      </c>
      <c r="J19" s="279"/>
      <c r="K19" s="280"/>
      <c r="L19" s="235"/>
      <c r="M19" s="245"/>
    </row>
    <row r="20" spans="2:13" ht="14.25" customHeight="1" x14ac:dyDescent="0.2">
      <c r="B20" s="230"/>
      <c r="C20" s="112"/>
      <c r="D20" s="112"/>
      <c r="E20" s="112"/>
      <c r="F20" s="112"/>
      <c r="G20" s="231"/>
      <c r="I20" s="230"/>
      <c r="J20" s="112"/>
      <c r="K20" s="112"/>
      <c r="L20" s="203" t="s">
        <v>19</v>
      </c>
      <c r="M20" s="255"/>
    </row>
    <row r="21" spans="2:13" ht="14.25" customHeight="1" x14ac:dyDescent="0.25">
      <c r="B21" s="230"/>
      <c r="C21" s="112"/>
      <c r="D21" s="112"/>
      <c r="E21" s="112"/>
      <c r="F21" s="112"/>
      <c r="G21" s="231"/>
      <c r="I21" s="230"/>
      <c r="J21" s="112"/>
      <c r="K21" s="204"/>
      <c r="L21" s="204"/>
      <c r="M21" s="255"/>
    </row>
    <row r="22" spans="2:13" ht="14.25" customHeight="1" x14ac:dyDescent="0.25">
      <c r="B22" s="230"/>
      <c r="C22" s="112"/>
      <c r="D22" s="112"/>
      <c r="E22" s="112"/>
      <c r="F22" s="112"/>
      <c r="G22" s="231"/>
      <c r="I22" s="230"/>
      <c r="J22" s="112"/>
      <c r="K22" s="112"/>
      <c r="L22" s="112"/>
      <c r="M22" s="231"/>
    </row>
    <row r="23" spans="2:13" ht="14.25" customHeight="1" x14ac:dyDescent="0.25">
      <c r="B23" s="230"/>
      <c r="C23" s="112"/>
      <c r="D23" s="112"/>
      <c r="E23" s="112"/>
      <c r="F23" s="112"/>
      <c r="G23" s="231"/>
      <c r="I23" s="230"/>
      <c r="J23" s="112"/>
      <c r="K23" s="112"/>
      <c r="L23" s="112"/>
      <c r="M23" s="231"/>
    </row>
    <row r="24" spans="2:13" ht="14.25" customHeight="1" x14ac:dyDescent="0.25">
      <c r="B24" s="230"/>
      <c r="C24" s="112"/>
      <c r="D24" s="112"/>
      <c r="E24" s="112"/>
      <c r="F24" s="112"/>
      <c r="G24" s="231"/>
      <c r="I24" s="230"/>
      <c r="J24" s="112"/>
      <c r="K24" s="112"/>
      <c r="L24" s="112"/>
      <c r="M24" s="231"/>
    </row>
    <row r="25" spans="2:13" ht="14.25" customHeight="1" x14ac:dyDescent="0.25">
      <c r="B25" s="230"/>
      <c r="C25" s="112"/>
      <c r="D25" s="112"/>
      <c r="E25" s="112"/>
      <c r="F25" s="112"/>
      <c r="G25" s="231"/>
      <c r="I25" s="230"/>
      <c r="J25" s="112"/>
      <c r="K25" s="112"/>
      <c r="L25" s="112"/>
      <c r="M25" s="231"/>
    </row>
    <row r="26" spans="2:13" ht="14.25" customHeight="1" x14ac:dyDescent="0.25">
      <c r="B26" s="230"/>
      <c r="C26" s="112"/>
      <c r="D26" s="112"/>
      <c r="E26" s="112"/>
      <c r="F26" s="112"/>
      <c r="G26" s="231"/>
      <c r="I26" s="230"/>
      <c r="J26" s="112"/>
      <c r="K26" s="112"/>
      <c r="L26" s="112"/>
      <c r="M26" s="231"/>
    </row>
    <row r="27" spans="2:13" ht="14.25" customHeight="1" x14ac:dyDescent="0.25">
      <c r="B27" s="230"/>
      <c r="C27" s="112"/>
      <c r="D27" s="112"/>
      <c r="E27" s="112"/>
      <c r="F27" s="112"/>
      <c r="G27" s="231"/>
      <c r="I27" s="230"/>
      <c r="J27" s="112"/>
      <c r="K27" s="112"/>
      <c r="L27" s="112"/>
      <c r="M27" s="231"/>
    </row>
    <row r="28" spans="2:13" ht="14.25" customHeight="1" x14ac:dyDescent="0.25">
      <c r="B28" s="230"/>
      <c r="C28" s="112"/>
      <c r="D28" s="112"/>
      <c r="E28" s="112"/>
      <c r="F28" s="112"/>
      <c r="G28" s="231"/>
      <c r="I28" s="230"/>
      <c r="J28" s="112"/>
      <c r="K28" s="112"/>
      <c r="L28" s="112"/>
      <c r="M28" s="231"/>
    </row>
    <row r="29" spans="2:13" ht="14.25" customHeight="1" x14ac:dyDescent="0.25">
      <c r="B29" s="230"/>
      <c r="C29" s="112"/>
      <c r="D29" s="112"/>
      <c r="E29" s="112"/>
      <c r="F29" s="112"/>
      <c r="G29" s="231"/>
      <c r="I29" s="230"/>
      <c r="J29" s="112"/>
      <c r="K29" s="112"/>
      <c r="L29" s="112"/>
      <c r="M29" s="231"/>
    </row>
    <row r="30" spans="2:13" ht="14.25" customHeight="1" x14ac:dyDescent="0.25">
      <c r="B30" s="230"/>
      <c r="C30" s="112"/>
      <c r="D30" s="112"/>
      <c r="E30" s="112"/>
      <c r="F30" s="112"/>
      <c r="G30" s="231"/>
      <c r="I30" s="230"/>
      <c r="J30" s="112"/>
      <c r="K30" s="112"/>
      <c r="L30" s="112"/>
      <c r="M30" s="231"/>
    </row>
    <row r="31" spans="2:13" ht="14.25" customHeight="1" x14ac:dyDescent="0.25">
      <c r="B31" s="230"/>
      <c r="C31" s="112"/>
      <c r="D31" s="112"/>
      <c r="E31" s="112"/>
      <c r="F31" s="112"/>
      <c r="G31" s="231"/>
      <c r="I31" s="230"/>
      <c r="J31" s="112"/>
      <c r="K31" s="112"/>
      <c r="L31" s="112"/>
      <c r="M31" s="231"/>
    </row>
    <row r="32" spans="2:13" ht="14.25" customHeight="1" x14ac:dyDescent="0.25">
      <c r="B32" s="230"/>
      <c r="C32" s="112"/>
      <c r="D32" s="112"/>
      <c r="E32" s="112"/>
      <c r="F32" s="112"/>
      <c r="G32" s="231"/>
      <c r="I32" s="230"/>
      <c r="J32" s="112"/>
      <c r="K32" s="112"/>
      <c r="L32" s="112"/>
      <c r="M32" s="231"/>
    </row>
    <row r="33" spans="2:13" ht="14.25" customHeight="1" x14ac:dyDescent="0.25">
      <c r="B33" s="230"/>
      <c r="C33" s="112"/>
      <c r="D33" s="112"/>
      <c r="E33" s="112"/>
      <c r="F33" s="112"/>
      <c r="G33" s="231"/>
      <c r="I33" s="230"/>
      <c r="J33" s="112"/>
      <c r="K33" s="112"/>
      <c r="L33" s="112"/>
      <c r="M33" s="231"/>
    </row>
    <row r="34" spans="2:13" ht="14.25" customHeight="1" x14ac:dyDescent="0.25">
      <c r="B34" s="230"/>
      <c r="C34" s="112"/>
      <c r="D34" s="112"/>
      <c r="E34" s="112"/>
      <c r="F34" s="112"/>
      <c r="G34" s="231"/>
      <c r="I34" s="230"/>
      <c r="J34" s="112"/>
      <c r="K34" s="112"/>
      <c r="L34" s="112"/>
      <c r="M34" s="231"/>
    </row>
    <row r="35" spans="2:13" ht="10.7" customHeight="1" x14ac:dyDescent="0.25">
      <c r="B35" s="230"/>
      <c r="C35" s="112"/>
      <c r="D35" s="112"/>
      <c r="E35" s="112"/>
      <c r="F35" s="112"/>
      <c r="G35" s="231"/>
      <c r="I35" s="230"/>
      <c r="J35" s="112"/>
      <c r="K35" s="112"/>
      <c r="L35" s="112"/>
      <c r="M35" s="231"/>
    </row>
    <row r="36" spans="2:13" ht="21.6" customHeight="1" x14ac:dyDescent="0.25">
      <c r="B36" s="232"/>
      <c r="C36" s="233"/>
      <c r="D36" s="233"/>
      <c r="E36" s="233"/>
      <c r="F36" s="233"/>
      <c r="G36" s="234"/>
      <c r="I36" s="232"/>
      <c r="J36" s="233"/>
      <c r="K36" s="233"/>
      <c r="L36" s="233"/>
      <c r="M36" s="234"/>
    </row>
    <row r="37" spans="2:13" ht="21.6" customHeight="1" x14ac:dyDescent="0.25"/>
    <row r="38" spans="2:13" ht="21.6" customHeight="1" x14ac:dyDescent="0.25"/>
    <row r="39" spans="2:13" ht="15" customHeight="1" x14ac:dyDescent="0.25">
      <c r="B39" s="113" t="str">
        <f>+'Data Input'!B83</f>
        <v xml:space="preserve">For more information on our unit's finances, contact Melanie Doughty at (231) 689-7223. </v>
      </c>
    </row>
  </sheetData>
  <sheetProtection formatCells="0" formatColumns="0" formatRows="0" insertColumns="0" insertRows="0" deleteColumns="0" deleteRows="0"/>
  <mergeCells count="12">
    <mergeCell ref="I12:J12"/>
    <mergeCell ref="I13:J13"/>
    <mergeCell ref="I14:J14"/>
    <mergeCell ref="I19:K19"/>
    <mergeCell ref="I10:J10"/>
    <mergeCell ref="I11:J11"/>
    <mergeCell ref="I9:J9"/>
    <mergeCell ref="B3:E3"/>
    <mergeCell ref="I6:J6"/>
    <mergeCell ref="I7:J7"/>
    <mergeCell ref="I8:J8"/>
    <mergeCell ref="I3:K3"/>
  </mergeCells>
  <phoneticPr fontId="23" type="noConversion"/>
  <printOptions horizontalCentered="1" verticalCentered="1"/>
  <pageMargins left="0.2" right="0.2" top="0.5" bottom="0.5" header="0.3" footer="0.3"/>
  <pageSetup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Drop Down 55">
              <controlPr defaultSize="0" autoLine="0" autoPict="0">
                <anchor moveWithCells="1">
                  <from>
                    <xdr:col>8</xdr:col>
                    <xdr:colOff>57150</xdr:colOff>
                    <xdr:row>19</xdr:row>
                    <xdr:rowOff>9525</xdr:rowOff>
                  </from>
                  <to>
                    <xdr:col>10</xdr:col>
                    <xdr:colOff>381000</xdr:colOff>
                    <xdr:row>20</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O43"/>
  <sheetViews>
    <sheetView showGridLines="0" topLeftCell="A7" zoomScale="110" zoomScaleNormal="110" workbookViewId="0">
      <selection activeCell="L16" sqref="L16"/>
    </sheetView>
  </sheetViews>
  <sheetFormatPr defaultColWidth="10.42578125" defaultRowHeight="15" customHeight="1" x14ac:dyDescent="0.25"/>
  <cols>
    <col min="1" max="1" width="3.7109375" style="113" customWidth="1"/>
    <col min="2" max="5" width="12.140625" style="113" customWidth="1"/>
    <col min="6" max="6" width="11.85546875" style="113" customWidth="1"/>
    <col min="7" max="7" width="2.7109375" style="113" customWidth="1"/>
    <col min="8" max="8" width="5" style="113" customWidth="1"/>
    <col min="9" max="9" width="12.140625" style="113" customWidth="1"/>
    <col min="10" max="10" width="17.28515625" style="113" bestFit="1" customWidth="1"/>
    <col min="11" max="11" width="13.5703125" style="113" customWidth="1"/>
    <col min="12" max="12" width="13.42578125" style="113" customWidth="1"/>
    <col min="13" max="13" width="10.7109375" style="113" customWidth="1"/>
    <col min="14" max="14" width="2.28515625" style="113" customWidth="1"/>
    <col min="15" max="15" width="10.42578125" style="113" customWidth="1"/>
    <col min="16" max="16" width="11.5703125" style="113" bestFit="1" customWidth="1"/>
    <col min="17" max="16384" width="10.42578125" style="113"/>
  </cols>
  <sheetData>
    <row r="1" spans="2:15" s="166" customFormat="1" ht="15.75" customHeight="1" x14ac:dyDescent="0.25">
      <c r="B1" s="165" t="str">
        <f>+'Data Input'!B1</f>
        <v xml:space="preserve">CITIZENS' GUIDE TO LOCAL UNIT FINANCES - Newaygo County </v>
      </c>
      <c r="J1" s="167" t="s">
        <v>177</v>
      </c>
    </row>
    <row r="2" spans="2:15" ht="25.5" customHeight="1" x14ac:dyDescent="0.25">
      <c r="B2" s="169"/>
      <c r="M2" s="170"/>
    </row>
    <row r="3" spans="2:15" ht="14.25" customHeight="1" x14ac:dyDescent="0.25">
      <c r="B3" s="228" t="s">
        <v>136</v>
      </c>
      <c r="C3" s="229"/>
      <c r="D3" s="229"/>
      <c r="E3" s="229"/>
      <c r="F3" s="259"/>
      <c r="G3" s="235"/>
      <c r="I3" s="228" t="s">
        <v>171</v>
      </c>
      <c r="J3" s="229"/>
      <c r="K3" s="235"/>
      <c r="L3" s="245"/>
      <c r="M3" s="245"/>
      <c r="N3" s="245"/>
    </row>
    <row r="4" spans="2:15" ht="14.25" customHeight="1" x14ac:dyDescent="0.25">
      <c r="B4" s="230"/>
      <c r="C4" s="112"/>
      <c r="D4" s="112"/>
      <c r="E4" s="112"/>
      <c r="F4" s="112"/>
      <c r="G4" s="231"/>
      <c r="I4" s="230"/>
      <c r="J4" s="112"/>
      <c r="K4" s="112"/>
      <c r="L4" s="112"/>
      <c r="M4" s="112"/>
      <c r="N4" s="231"/>
    </row>
    <row r="5" spans="2:15" ht="14.25" customHeight="1" x14ac:dyDescent="0.25">
      <c r="B5" s="230"/>
      <c r="C5" s="112"/>
      <c r="D5" s="112"/>
      <c r="E5" s="112"/>
      <c r="F5" s="112"/>
      <c r="G5" s="231"/>
      <c r="I5" s="236" t="s">
        <v>41</v>
      </c>
      <c r="J5" s="237"/>
      <c r="K5" s="238">
        <v>2019</v>
      </c>
      <c r="L5" s="238">
        <v>2020</v>
      </c>
      <c r="M5" s="238" t="s">
        <v>124</v>
      </c>
      <c r="N5" s="231"/>
    </row>
    <row r="6" spans="2:15" ht="14.25" customHeight="1" x14ac:dyDescent="0.25">
      <c r="B6" s="230"/>
      <c r="C6" s="112"/>
      <c r="D6" s="112"/>
      <c r="E6" s="112"/>
      <c r="F6" s="112"/>
      <c r="G6" s="231"/>
      <c r="I6" s="270" t="s">
        <v>121</v>
      </c>
      <c r="J6" s="271"/>
      <c r="K6" s="112">
        <f>+'Data Input'!S17</f>
        <v>9749340</v>
      </c>
      <c r="L6" s="112">
        <f>+'Data Input'!T17</f>
        <v>9355259</v>
      </c>
      <c r="M6" s="189">
        <f t="shared" ref="M6:M16" si="0">(L6-K6)/K6</f>
        <v>-4.0421300313662256E-2</v>
      </c>
      <c r="N6" s="231"/>
    </row>
    <row r="7" spans="2:15" ht="14.25" customHeight="1" x14ac:dyDescent="0.25">
      <c r="B7" s="230"/>
      <c r="C7" s="112"/>
      <c r="D7" s="112"/>
      <c r="E7" s="112"/>
      <c r="F7" s="112"/>
      <c r="G7" s="231"/>
      <c r="I7" s="270" t="s">
        <v>163</v>
      </c>
      <c r="J7" s="271"/>
      <c r="K7" s="112">
        <f>+'Data Input'!S18</f>
        <v>3265887</v>
      </c>
      <c r="L7" s="112">
        <f>+'Data Input'!T18</f>
        <v>3670971.6</v>
      </c>
      <c r="M7" s="190">
        <f t="shared" si="0"/>
        <v>0.12403509368205333</v>
      </c>
      <c r="N7" s="231"/>
    </row>
    <row r="8" spans="2:15" ht="14.25" customHeight="1" x14ac:dyDescent="0.25">
      <c r="B8" s="230"/>
      <c r="C8" s="112"/>
      <c r="D8" s="112"/>
      <c r="E8" s="112"/>
      <c r="F8" s="112"/>
      <c r="G8" s="231"/>
      <c r="I8" s="270" t="s">
        <v>99</v>
      </c>
      <c r="J8" s="271"/>
      <c r="K8" s="112">
        <f>+'Data Input'!S19</f>
        <v>6068593</v>
      </c>
      <c r="L8" s="112">
        <f>+'Data Input'!T19</f>
        <v>6694884.8300000001</v>
      </c>
      <c r="M8" s="191">
        <f t="shared" si="0"/>
        <v>0.10320214751590691</v>
      </c>
      <c r="N8" s="231"/>
    </row>
    <row r="9" spans="2:15" ht="14.25" customHeight="1" x14ac:dyDescent="0.25">
      <c r="B9" s="230"/>
      <c r="C9" s="112"/>
      <c r="D9" s="112"/>
      <c r="E9" s="112"/>
      <c r="F9" s="112"/>
      <c r="G9" s="231"/>
      <c r="I9" s="270" t="s">
        <v>179</v>
      </c>
      <c r="J9" s="271"/>
      <c r="K9" s="112">
        <f>+'Data Input'!S20</f>
        <v>244853</v>
      </c>
      <c r="L9" s="112">
        <f>+'Data Input'!T20</f>
        <v>211564</v>
      </c>
      <c r="M9" s="192">
        <f t="shared" si="0"/>
        <v>-0.13595504241320303</v>
      </c>
      <c r="N9" s="231"/>
    </row>
    <row r="10" spans="2:15" ht="14.25" customHeight="1" x14ac:dyDescent="0.25">
      <c r="B10" s="230"/>
      <c r="C10" s="112"/>
      <c r="D10" s="112"/>
      <c r="E10" s="112"/>
      <c r="F10" s="112"/>
      <c r="G10" s="231"/>
      <c r="I10" s="270" t="s">
        <v>92</v>
      </c>
      <c r="J10" s="271"/>
      <c r="K10" s="112">
        <f>+'Data Input'!S21</f>
        <v>4768966</v>
      </c>
      <c r="L10" s="112">
        <f>+'Data Input'!T21</f>
        <v>4579640</v>
      </c>
      <c r="M10" s="191">
        <f t="shared" si="0"/>
        <v>-3.9699591064394253E-2</v>
      </c>
      <c r="N10" s="231"/>
    </row>
    <row r="11" spans="2:15" ht="14.25" customHeight="1" x14ac:dyDescent="0.25">
      <c r="B11" s="230"/>
      <c r="C11" s="112"/>
      <c r="D11" s="112"/>
      <c r="E11" s="112"/>
      <c r="F11" s="112"/>
      <c r="G11" s="231"/>
      <c r="I11" s="270" t="s">
        <v>35</v>
      </c>
      <c r="J11" s="271"/>
      <c r="K11" s="112">
        <f>+'Data Input'!S22</f>
        <v>217249</v>
      </c>
      <c r="L11" s="112">
        <f>+'Data Input'!T22</f>
        <v>205148</v>
      </c>
      <c r="M11" s="192">
        <f t="shared" si="0"/>
        <v>-5.5701061915129642E-2</v>
      </c>
      <c r="N11" s="231"/>
    </row>
    <row r="12" spans="2:15" ht="14.25" customHeight="1" x14ac:dyDescent="0.25">
      <c r="B12" s="230"/>
      <c r="C12" s="112"/>
      <c r="D12" s="112"/>
      <c r="E12" s="112"/>
      <c r="F12" s="112"/>
      <c r="G12" s="231"/>
      <c r="I12" s="270" t="s">
        <v>82</v>
      </c>
      <c r="J12" s="271"/>
      <c r="K12" s="112">
        <f>+'Data Input'!S23</f>
        <v>693917</v>
      </c>
      <c r="L12" s="112">
        <f>+'Data Input'!T23</f>
        <v>1357607</v>
      </c>
      <c r="M12" s="192">
        <f t="shared" si="0"/>
        <v>0.95644003533563815</v>
      </c>
      <c r="N12" s="231"/>
    </row>
    <row r="13" spans="2:15" ht="14.25" customHeight="1" x14ac:dyDescent="0.25">
      <c r="B13" s="230"/>
      <c r="C13" s="112"/>
      <c r="D13" s="112"/>
      <c r="E13" s="112"/>
      <c r="F13" s="112"/>
      <c r="G13" s="231"/>
      <c r="I13" s="270" t="s">
        <v>80</v>
      </c>
      <c r="J13" s="271"/>
      <c r="K13" s="112">
        <f>+'Data Input'!S24</f>
        <v>194016</v>
      </c>
      <c r="L13" s="112">
        <f>+'Data Input'!T24</f>
        <v>129557</v>
      </c>
      <c r="M13" s="192">
        <f t="shared" si="0"/>
        <v>-0.33223548573313544</v>
      </c>
      <c r="N13" s="231"/>
    </row>
    <row r="14" spans="2:15" ht="14.25" customHeight="1" x14ac:dyDescent="0.25">
      <c r="B14" s="230"/>
      <c r="C14" s="112"/>
      <c r="D14" s="112"/>
      <c r="E14" s="112"/>
      <c r="F14" s="112"/>
      <c r="G14" s="231"/>
      <c r="I14" s="270" t="s">
        <v>76</v>
      </c>
      <c r="J14" s="271"/>
      <c r="K14" s="112">
        <f>+'Data Input'!S25</f>
        <v>1321591</v>
      </c>
      <c r="L14" s="112">
        <f>+'Data Input'!T25</f>
        <v>1314385</v>
      </c>
      <c r="M14" s="192">
        <f t="shared" si="0"/>
        <v>-5.4525189714518339E-3</v>
      </c>
      <c r="N14" s="231"/>
    </row>
    <row r="15" spans="2:15" ht="14.25" customHeight="1" thickBot="1" x14ac:dyDescent="0.3">
      <c r="B15" s="230"/>
      <c r="C15" s="112"/>
      <c r="D15" s="112"/>
      <c r="E15" s="112"/>
      <c r="F15" s="112"/>
      <c r="G15" s="231"/>
      <c r="I15" s="239" t="s">
        <v>32</v>
      </c>
      <c r="J15" s="208"/>
      <c r="K15" s="193">
        <f>+'Data Input'!S26</f>
        <v>123044</v>
      </c>
      <c r="L15" s="193">
        <f>+'Data Input'!T26</f>
        <v>111563</v>
      </c>
      <c r="M15" s="194">
        <f t="shared" si="0"/>
        <v>-9.3308084912714154E-2</v>
      </c>
      <c r="N15" s="231"/>
    </row>
    <row r="16" spans="2:15" ht="14.25" customHeight="1" thickTop="1" x14ac:dyDescent="0.25">
      <c r="B16" s="230"/>
      <c r="C16" s="112"/>
      <c r="D16" s="112"/>
      <c r="E16" s="112"/>
      <c r="F16" s="112"/>
      <c r="G16" s="231"/>
      <c r="I16" s="240" t="s">
        <v>12</v>
      </c>
      <c r="J16" s="112"/>
      <c r="K16" s="110">
        <f>SUM(K6:K15)</f>
        <v>26647456</v>
      </c>
      <c r="L16" s="110">
        <f>SUM(L6:L15)</f>
        <v>27630579.43</v>
      </c>
      <c r="M16" s="195">
        <f t="shared" si="0"/>
        <v>3.6893706851415749E-2</v>
      </c>
      <c r="N16" s="231"/>
      <c r="O16" s="196"/>
    </row>
    <row r="17" spans="2:14" ht="14.25" customHeight="1" x14ac:dyDescent="0.25">
      <c r="B17" s="230"/>
      <c r="C17" s="112"/>
      <c r="D17" s="112"/>
      <c r="E17" s="112"/>
      <c r="F17" s="112"/>
      <c r="G17" s="231"/>
      <c r="I17" s="241"/>
      <c r="J17" s="112"/>
      <c r="K17" s="110"/>
      <c r="L17" s="110"/>
      <c r="M17" s="195"/>
      <c r="N17" s="231"/>
    </row>
    <row r="18" spans="2:14" ht="14.25" customHeight="1" x14ac:dyDescent="0.25">
      <c r="B18" s="232"/>
      <c r="C18" s="233"/>
      <c r="D18" s="233"/>
      <c r="E18" s="233"/>
      <c r="F18" s="233"/>
      <c r="G18" s="234"/>
      <c r="I18" s="242"/>
      <c r="J18" s="233"/>
      <c r="K18" s="243"/>
      <c r="L18" s="243"/>
      <c r="M18" s="244"/>
      <c r="N18" s="234"/>
    </row>
    <row r="20" spans="2:14" ht="14.25" customHeight="1" x14ac:dyDescent="0.25">
      <c r="B20" s="228" t="s">
        <v>209</v>
      </c>
      <c r="C20" s="229"/>
      <c r="D20" s="229"/>
      <c r="E20" s="229"/>
      <c r="F20" s="235"/>
      <c r="G20" s="245"/>
      <c r="I20" s="228" t="s">
        <v>112</v>
      </c>
      <c r="J20" s="229"/>
      <c r="K20" s="229"/>
      <c r="L20" s="235"/>
      <c r="M20" s="245"/>
      <c r="N20" s="245"/>
    </row>
    <row r="21" spans="2:14" ht="14.25" customHeight="1" x14ac:dyDescent="0.25">
      <c r="B21" s="230"/>
      <c r="C21" s="112"/>
      <c r="D21" s="112"/>
      <c r="E21" s="112"/>
      <c r="F21" s="112"/>
      <c r="G21" s="231"/>
      <c r="I21" s="230"/>
      <c r="J21" s="112"/>
      <c r="K21" s="112"/>
      <c r="L21" s="281" t="s">
        <v>122</v>
      </c>
      <c r="M21" s="281"/>
      <c r="N21" s="231"/>
    </row>
    <row r="22" spans="2:14" ht="14.25" customHeight="1" x14ac:dyDescent="0.25">
      <c r="B22" s="230"/>
      <c r="C22" s="112"/>
      <c r="D22" s="112"/>
      <c r="E22" s="112"/>
      <c r="F22" s="112"/>
      <c r="G22" s="231"/>
      <c r="I22" s="230"/>
      <c r="J22" s="112"/>
      <c r="K22" s="112"/>
      <c r="L22" s="197"/>
      <c r="M22" s="197"/>
      <c r="N22" s="231"/>
    </row>
    <row r="23" spans="2:14" ht="14.25" customHeight="1" x14ac:dyDescent="0.25">
      <c r="B23" s="230"/>
      <c r="C23" s="112"/>
      <c r="D23" s="112"/>
      <c r="E23" s="112"/>
      <c r="F23" s="112"/>
      <c r="G23" s="231"/>
      <c r="I23" s="230"/>
      <c r="J23" s="112"/>
      <c r="K23" s="112"/>
      <c r="L23" s="112"/>
      <c r="M23" s="112"/>
      <c r="N23" s="231"/>
    </row>
    <row r="24" spans="2:14" ht="14.25" customHeight="1" x14ac:dyDescent="0.25">
      <c r="B24" s="230"/>
      <c r="C24" s="112"/>
      <c r="D24" s="112"/>
      <c r="E24" s="112"/>
      <c r="F24" s="112"/>
      <c r="G24" s="231"/>
      <c r="I24" s="230"/>
      <c r="J24" s="112"/>
      <c r="K24" s="112"/>
      <c r="L24" s="112"/>
      <c r="M24" s="112"/>
      <c r="N24" s="231"/>
    </row>
    <row r="25" spans="2:14" ht="14.25" customHeight="1" x14ac:dyDescent="0.25">
      <c r="B25" s="230"/>
      <c r="C25" s="112"/>
      <c r="D25" s="112"/>
      <c r="E25" s="112"/>
      <c r="F25" s="112"/>
      <c r="G25" s="231"/>
      <c r="I25" s="230"/>
      <c r="J25" s="112"/>
      <c r="K25" s="112"/>
      <c r="L25" s="112"/>
      <c r="M25" s="112"/>
      <c r="N25" s="231"/>
    </row>
    <row r="26" spans="2:14" ht="14.25" customHeight="1" x14ac:dyDescent="0.25">
      <c r="B26" s="230"/>
      <c r="C26" s="112"/>
      <c r="D26" s="112"/>
      <c r="E26" s="112"/>
      <c r="F26" s="112"/>
      <c r="G26" s="231"/>
      <c r="I26" s="230"/>
      <c r="J26" s="112"/>
      <c r="K26" s="112"/>
      <c r="L26" s="112"/>
      <c r="M26" s="112"/>
      <c r="N26" s="231"/>
    </row>
    <row r="27" spans="2:14" ht="14.25" customHeight="1" x14ac:dyDescent="0.25">
      <c r="B27" s="230"/>
      <c r="C27" s="112"/>
      <c r="D27" s="112"/>
      <c r="E27" s="112"/>
      <c r="F27" s="112"/>
      <c r="G27" s="231"/>
      <c r="I27" s="230"/>
      <c r="J27" s="112"/>
      <c r="K27" s="112"/>
      <c r="L27" s="112"/>
      <c r="M27" s="112"/>
      <c r="N27" s="231"/>
    </row>
    <row r="28" spans="2:14" ht="14.25" customHeight="1" x14ac:dyDescent="0.25">
      <c r="B28" s="230"/>
      <c r="C28" s="112"/>
      <c r="D28" s="112"/>
      <c r="E28" s="112"/>
      <c r="F28" s="112"/>
      <c r="G28" s="231"/>
      <c r="I28" s="230"/>
      <c r="J28" s="112"/>
      <c r="K28" s="112"/>
      <c r="L28" s="112"/>
      <c r="M28" s="112"/>
      <c r="N28" s="231"/>
    </row>
    <row r="29" spans="2:14" ht="14.25" customHeight="1" x14ac:dyDescent="0.25">
      <c r="B29" s="230"/>
      <c r="C29" s="112"/>
      <c r="D29" s="112"/>
      <c r="E29" s="112"/>
      <c r="F29" s="112"/>
      <c r="G29" s="231"/>
      <c r="I29" s="230"/>
      <c r="J29" s="112"/>
      <c r="K29" s="112"/>
      <c r="L29" s="112"/>
      <c r="M29" s="112"/>
      <c r="N29" s="231"/>
    </row>
    <row r="30" spans="2:14" ht="14.25" customHeight="1" x14ac:dyDescent="0.25">
      <c r="B30" s="230"/>
      <c r="C30" s="112"/>
      <c r="D30" s="112"/>
      <c r="E30" s="112"/>
      <c r="F30" s="112"/>
      <c r="G30" s="231"/>
      <c r="I30" s="230"/>
      <c r="J30" s="112"/>
      <c r="K30" s="112"/>
      <c r="L30" s="112"/>
      <c r="M30" s="112"/>
      <c r="N30" s="231"/>
    </row>
    <row r="31" spans="2:14" ht="14.25" customHeight="1" x14ac:dyDescent="0.25">
      <c r="B31" s="230"/>
      <c r="C31" s="112"/>
      <c r="D31" s="112"/>
      <c r="E31" s="112"/>
      <c r="F31" s="112"/>
      <c r="G31" s="231"/>
      <c r="I31" s="230"/>
      <c r="J31" s="112"/>
      <c r="K31" s="112"/>
      <c r="L31" s="112"/>
      <c r="M31" s="112"/>
      <c r="N31" s="231"/>
    </row>
    <row r="32" spans="2:14" ht="14.25" customHeight="1" x14ac:dyDescent="0.25">
      <c r="B32" s="230"/>
      <c r="C32" s="112"/>
      <c r="D32" s="112"/>
      <c r="E32" s="112"/>
      <c r="F32" s="112"/>
      <c r="G32" s="231"/>
      <c r="I32" s="230"/>
      <c r="J32" s="112"/>
      <c r="K32" s="112"/>
      <c r="L32" s="112"/>
      <c r="M32" s="112"/>
      <c r="N32" s="231"/>
    </row>
    <row r="33" spans="2:14" ht="14.25" customHeight="1" x14ac:dyDescent="0.25">
      <c r="B33" s="230"/>
      <c r="C33" s="112"/>
      <c r="D33" s="112"/>
      <c r="E33" s="112"/>
      <c r="F33" s="112"/>
      <c r="G33" s="231"/>
      <c r="I33" s="230"/>
      <c r="J33" s="112"/>
      <c r="K33" s="112"/>
      <c r="L33" s="112"/>
      <c r="M33" s="112"/>
      <c r="N33" s="231"/>
    </row>
    <row r="34" spans="2:14" ht="14.25" customHeight="1" x14ac:dyDescent="0.25">
      <c r="B34" s="230"/>
      <c r="C34" s="112"/>
      <c r="D34" s="112"/>
      <c r="E34" s="112"/>
      <c r="F34" s="112"/>
      <c r="G34" s="231"/>
      <c r="I34" s="230"/>
      <c r="J34" s="112"/>
      <c r="K34" s="112"/>
      <c r="L34" s="112"/>
      <c r="M34" s="112"/>
      <c r="N34" s="231"/>
    </row>
    <row r="35" spans="2:14" ht="10.7" customHeight="1" x14ac:dyDescent="0.25">
      <c r="B35" s="232"/>
      <c r="C35" s="233"/>
      <c r="D35" s="233"/>
      <c r="E35" s="233"/>
      <c r="F35" s="233"/>
      <c r="G35" s="234"/>
      <c r="I35" s="232"/>
      <c r="J35" s="233"/>
      <c r="K35" s="233"/>
      <c r="L35" s="233"/>
      <c r="M35" s="233"/>
      <c r="N35" s="234"/>
    </row>
    <row r="36" spans="2:14" ht="14.25" customHeight="1" x14ac:dyDescent="0.25"/>
    <row r="37" spans="2:14" ht="14.25" customHeight="1" x14ac:dyDescent="0.25"/>
    <row r="38" spans="2:14" ht="14.25" customHeight="1" x14ac:dyDescent="0.25"/>
    <row r="39" spans="2:14" ht="14.25" customHeight="1" x14ac:dyDescent="0.25"/>
    <row r="40" spans="2:14" ht="14.25" customHeight="1" x14ac:dyDescent="0.25">
      <c r="B40" s="113" t="str">
        <f>+'Data Input'!B83</f>
        <v xml:space="preserve">For more information on our unit's finances, contact Melanie Doughty at (231) 689-7223. </v>
      </c>
    </row>
    <row r="41" spans="2:14" ht="14.25" customHeight="1" x14ac:dyDescent="0.25"/>
    <row r="42" spans="2:14" ht="14.25" customHeight="1" x14ac:dyDescent="0.25"/>
    <row r="43" spans="2:14" ht="14.25" customHeight="1" x14ac:dyDescent="0.25"/>
  </sheetData>
  <sheetProtection formatCells="0" formatColumns="0" formatRows="0" insertColumns="0" insertRows="0" deleteColumns="0" deleteRows="0"/>
  <mergeCells count="10">
    <mergeCell ref="L21:M21"/>
    <mergeCell ref="I6:J6"/>
    <mergeCell ref="I7:J7"/>
    <mergeCell ref="I8:J8"/>
    <mergeCell ref="I9:J9"/>
    <mergeCell ref="I10:J10"/>
    <mergeCell ref="I11:J11"/>
    <mergeCell ref="I12:J12"/>
    <mergeCell ref="I13:J13"/>
    <mergeCell ref="I14:J14"/>
  </mergeCells>
  <phoneticPr fontId="23" type="noConversion"/>
  <printOptions horizontalCentered="1" verticalCentered="1"/>
  <pageMargins left="0.2" right="0.2" top="0.5" bottom="0.5" header="0.3" footer="0.3"/>
  <pageSetup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00" r:id="rId4" name="Drop Down 52">
              <controlPr defaultSize="0" autoLine="0" autoPict="0">
                <anchor moveWithCells="1">
                  <from>
                    <xdr:col>8</xdr:col>
                    <xdr:colOff>114300</xdr:colOff>
                    <xdr:row>20</xdr:row>
                    <xdr:rowOff>19050</xdr:rowOff>
                  </from>
                  <to>
                    <xdr:col>10</xdr:col>
                    <xdr:colOff>209550</xdr:colOff>
                    <xdr:row>21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2:P39"/>
  <sheetViews>
    <sheetView showGridLines="0" zoomScaleNormal="100" workbookViewId="0">
      <selection activeCell="O23" sqref="O23"/>
    </sheetView>
  </sheetViews>
  <sheetFormatPr defaultColWidth="11.7109375" defaultRowHeight="15" customHeight="1" x14ac:dyDescent="0.25"/>
  <cols>
    <col min="1" max="1" width="3.5703125" style="166" customWidth="1"/>
    <col min="2" max="4" width="12" style="166" customWidth="1"/>
    <col min="5" max="5" width="12.7109375" style="166" customWidth="1"/>
    <col min="6" max="6" width="12" style="166" customWidth="1"/>
    <col min="7" max="7" width="3.28515625" style="166" customWidth="1"/>
    <col min="8" max="8" width="3.42578125" style="166" customWidth="1"/>
    <col min="9" max="9" width="12" style="166" customWidth="1"/>
    <col min="10" max="10" width="36" style="166" customWidth="1"/>
    <col min="11" max="11" width="14.42578125" style="166" customWidth="1"/>
    <col min="12" max="12" width="13.42578125" style="166" customWidth="1"/>
    <col min="13" max="13" width="12" style="166" customWidth="1"/>
    <col min="14" max="14" width="4.85546875" style="166" customWidth="1"/>
    <col min="15" max="16384" width="11.7109375" style="166"/>
  </cols>
  <sheetData>
    <row r="2" spans="2:16" ht="15.75" customHeight="1" x14ac:dyDescent="0.25">
      <c r="B2" s="165" t="str">
        <f>+'Data Input'!B1</f>
        <v xml:space="preserve">CITIZENS' GUIDE TO LOCAL UNIT FINANCES - Newaygo County </v>
      </c>
      <c r="J2" s="167" t="s">
        <v>206</v>
      </c>
    </row>
    <row r="3" spans="2:16" ht="27.75" customHeight="1" x14ac:dyDescent="0.25">
      <c r="B3" s="165"/>
      <c r="K3" s="174"/>
    </row>
    <row r="4" spans="2:16" ht="15" customHeight="1" x14ac:dyDescent="0.25">
      <c r="B4" s="217" t="s">
        <v>264</v>
      </c>
      <c r="C4" s="177"/>
      <c r="D4" s="177"/>
      <c r="E4" s="177"/>
      <c r="F4" s="175"/>
      <c r="I4" s="176" t="s">
        <v>171</v>
      </c>
      <c r="J4" s="177"/>
      <c r="K4" s="178"/>
    </row>
    <row r="5" spans="2:16" ht="17.25" customHeight="1" x14ac:dyDescent="0.25">
      <c r="B5" s="209"/>
      <c r="C5" s="179"/>
      <c r="D5" s="179"/>
      <c r="E5" s="179"/>
      <c r="F5" s="215"/>
      <c r="I5" s="209"/>
      <c r="J5" s="179"/>
      <c r="K5" s="225"/>
      <c r="L5" s="225"/>
      <c r="M5" s="226"/>
    </row>
    <row r="6" spans="2:16" ht="15" customHeight="1" x14ac:dyDescent="0.25">
      <c r="B6" s="209"/>
      <c r="C6" s="179"/>
      <c r="D6" s="179"/>
      <c r="E6" s="179"/>
      <c r="F6" s="215"/>
      <c r="I6" s="209"/>
      <c r="J6" s="179"/>
      <c r="K6" s="182">
        <v>2019</v>
      </c>
      <c r="L6" s="182">
        <v>2020</v>
      </c>
      <c r="M6" s="210" t="s">
        <v>124</v>
      </c>
    </row>
    <row r="7" spans="2:16" ht="15" customHeight="1" x14ac:dyDescent="0.25">
      <c r="B7" s="209"/>
      <c r="C7" s="179"/>
      <c r="D7" s="179"/>
      <c r="E7" s="179"/>
      <c r="F7" s="215"/>
      <c r="I7" s="282" t="s">
        <v>199</v>
      </c>
      <c r="J7" s="283"/>
      <c r="K7" s="179">
        <f>'Data Input'!S15</f>
        <v>26957060</v>
      </c>
      <c r="L7" s="179">
        <f>+'Data Input'!T15</f>
        <v>29385763</v>
      </c>
      <c r="M7" s="211">
        <f>(L7-K7)/K7</f>
        <v>9.0095247775536347E-2</v>
      </c>
      <c r="P7" s="183"/>
    </row>
    <row r="8" spans="2:16" ht="15.75" customHeight="1" x14ac:dyDescent="0.25">
      <c r="B8" s="209"/>
      <c r="C8" s="179"/>
      <c r="D8" s="179"/>
      <c r="E8" s="179"/>
      <c r="F8" s="215"/>
      <c r="I8" s="282" t="s">
        <v>41</v>
      </c>
      <c r="J8" s="283"/>
      <c r="K8" s="179">
        <f>'Data Input'!S27</f>
        <v>26647456</v>
      </c>
      <c r="L8" s="179">
        <f>'Data Input'!T27</f>
        <v>27630579.43</v>
      </c>
      <c r="M8" s="211">
        <f>(L8-K8)/K8</f>
        <v>3.6893706851415749E-2</v>
      </c>
    </row>
    <row r="9" spans="2:16" ht="15.75" customHeight="1" thickBot="1" x14ac:dyDescent="0.3">
      <c r="B9" s="209"/>
      <c r="C9" s="179"/>
      <c r="D9" s="179"/>
      <c r="E9" s="179"/>
      <c r="F9" s="215"/>
      <c r="I9" s="212" t="s">
        <v>251</v>
      </c>
      <c r="J9" s="184"/>
      <c r="K9" s="185">
        <f>'Data Input'!S36</f>
        <v>1174045</v>
      </c>
      <c r="L9" s="185">
        <f>'Data Input'!T36</f>
        <v>288590</v>
      </c>
      <c r="M9" s="213">
        <f>(L9-K9)/K9</f>
        <v>-0.75419170474726271</v>
      </c>
    </row>
    <row r="10" spans="2:16" ht="15" customHeight="1" thickTop="1" x14ac:dyDescent="0.25">
      <c r="B10" s="209"/>
      <c r="C10" s="179"/>
      <c r="D10" s="179"/>
      <c r="E10" s="179"/>
      <c r="F10" s="215"/>
      <c r="I10" s="287" t="s">
        <v>266</v>
      </c>
      <c r="J10" s="288"/>
      <c r="K10" s="186">
        <f>'Data Input'!S37</f>
        <v>1483649</v>
      </c>
      <c r="L10" s="186">
        <f>'Data Input'!T37</f>
        <v>2043773.5700000003</v>
      </c>
      <c r="M10" s="214">
        <f>(L10-K10)/K10</f>
        <v>0.37753172751776215</v>
      </c>
    </row>
    <row r="11" spans="2:16" ht="15" customHeight="1" x14ac:dyDescent="0.25">
      <c r="B11" s="209"/>
      <c r="C11" s="179"/>
      <c r="D11" s="179"/>
      <c r="E11" s="179"/>
      <c r="F11" s="215"/>
      <c r="I11" s="209"/>
      <c r="J11" s="179"/>
      <c r="K11" s="179"/>
      <c r="L11" s="179"/>
      <c r="M11" s="215"/>
      <c r="O11" s="187"/>
    </row>
    <row r="12" spans="2:16" ht="15" customHeight="1" x14ac:dyDescent="0.25">
      <c r="B12" s="209"/>
      <c r="C12" s="179"/>
      <c r="D12" s="179"/>
      <c r="E12" s="179"/>
      <c r="F12" s="215"/>
      <c r="I12" s="209"/>
      <c r="J12" s="179"/>
      <c r="K12" s="179"/>
      <c r="L12" s="179"/>
      <c r="M12" s="215"/>
    </row>
    <row r="13" spans="2:16" ht="15.75" customHeight="1" x14ac:dyDescent="0.25">
      <c r="B13" s="209"/>
      <c r="C13" s="179"/>
      <c r="D13" s="179"/>
      <c r="E13" s="179"/>
      <c r="F13" s="215"/>
      <c r="I13" s="209"/>
      <c r="J13" s="179"/>
      <c r="K13" s="179"/>
      <c r="L13" s="179"/>
      <c r="M13" s="215"/>
    </row>
    <row r="14" spans="2:16" ht="15.75" customHeight="1" x14ac:dyDescent="0.25">
      <c r="B14" s="209"/>
      <c r="C14" s="179"/>
      <c r="D14" s="179"/>
      <c r="E14" s="179"/>
      <c r="F14" s="215"/>
      <c r="I14" s="209"/>
      <c r="J14" s="179"/>
      <c r="K14" s="179"/>
      <c r="L14" s="179"/>
      <c r="M14" s="215"/>
    </row>
    <row r="15" spans="2:16" ht="15" customHeight="1" x14ac:dyDescent="0.25">
      <c r="B15" s="209"/>
      <c r="C15" s="179"/>
      <c r="D15" s="179"/>
      <c r="E15" s="179"/>
      <c r="F15" s="215"/>
      <c r="I15" s="209"/>
      <c r="J15" s="179"/>
      <c r="K15" s="179"/>
      <c r="L15" s="179"/>
      <c r="M15" s="215"/>
    </row>
    <row r="16" spans="2:16" ht="15" customHeight="1" x14ac:dyDescent="0.25">
      <c r="B16" s="209"/>
      <c r="C16" s="179"/>
      <c r="D16" s="179"/>
      <c r="E16" s="179"/>
      <c r="F16" s="215"/>
      <c r="I16" s="282"/>
      <c r="J16" s="283"/>
      <c r="K16" s="283"/>
      <c r="L16" s="179"/>
      <c r="M16" s="211"/>
    </row>
    <row r="17" spans="2:15" ht="15" customHeight="1" x14ac:dyDescent="0.25">
      <c r="B17" s="209"/>
      <c r="C17" s="179"/>
      <c r="D17" s="179"/>
      <c r="E17" s="179"/>
      <c r="F17" s="215"/>
      <c r="I17" s="282"/>
      <c r="J17" s="283"/>
      <c r="K17" s="179"/>
      <c r="L17" s="179"/>
      <c r="M17" s="211"/>
    </row>
    <row r="18" spans="2:15" ht="5.25" customHeight="1" x14ac:dyDescent="0.25">
      <c r="B18" s="218"/>
      <c r="C18" s="216"/>
      <c r="D18" s="216"/>
      <c r="E18" s="216"/>
      <c r="F18" s="219"/>
      <c r="I18" s="256"/>
      <c r="J18" s="257"/>
      <c r="K18" s="216"/>
      <c r="L18" s="216"/>
      <c r="M18" s="258"/>
    </row>
    <row r="19" spans="2:15" ht="15" customHeight="1" x14ac:dyDescent="0.25">
      <c r="I19" s="289"/>
      <c r="J19" s="289"/>
      <c r="M19" s="188"/>
    </row>
    <row r="20" spans="2:15" ht="14.25" customHeight="1" x14ac:dyDescent="0.25">
      <c r="B20" s="284" t="s">
        <v>329</v>
      </c>
      <c r="C20" s="285"/>
      <c r="D20" s="285"/>
      <c r="E20" s="285"/>
      <c r="F20" s="286"/>
      <c r="I20" s="220" t="s">
        <v>265</v>
      </c>
      <c r="J20" s="177"/>
      <c r="K20" s="227"/>
      <c r="L20" s="221"/>
      <c r="M20" s="221"/>
    </row>
    <row r="21" spans="2:15" ht="14.25" customHeight="1" x14ac:dyDescent="0.25">
      <c r="B21" s="209"/>
      <c r="C21" s="179"/>
      <c r="D21" s="179"/>
      <c r="E21" s="179"/>
      <c r="F21" s="215"/>
      <c r="I21" s="181"/>
      <c r="J21" s="179"/>
      <c r="K21" s="179"/>
      <c r="L21" s="179"/>
      <c r="M21" s="180"/>
    </row>
    <row r="22" spans="2:15" ht="14.25" customHeight="1" x14ac:dyDescent="0.25">
      <c r="B22" s="209"/>
      <c r="C22" s="179"/>
      <c r="D22" s="179"/>
      <c r="E22" s="179"/>
      <c r="F22" s="215"/>
      <c r="I22" s="181"/>
      <c r="J22" s="179"/>
      <c r="K22" s="179"/>
      <c r="L22" s="179"/>
      <c r="M22" s="180"/>
    </row>
    <row r="23" spans="2:15" ht="14.25" customHeight="1" x14ac:dyDescent="0.25">
      <c r="B23" s="209"/>
      <c r="C23" s="179"/>
      <c r="D23" s="179"/>
      <c r="E23" s="179"/>
      <c r="F23" s="215"/>
      <c r="I23" s="181"/>
      <c r="J23" s="179"/>
      <c r="K23" s="179"/>
      <c r="L23" s="179"/>
      <c r="M23" s="180"/>
    </row>
    <row r="24" spans="2:15" ht="14.25" customHeight="1" x14ac:dyDescent="0.25">
      <c r="B24" s="209"/>
      <c r="C24" s="179"/>
      <c r="D24" s="179"/>
      <c r="E24" s="179"/>
      <c r="F24" s="215"/>
      <c r="I24" s="181"/>
      <c r="J24" s="179"/>
      <c r="K24" s="179"/>
      <c r="L24" s="179"/>
      <c r="M24" s="180"/>
      <c r="O24" s="113"/>
    </row>
    <row r="25" spans="2:15" ht="14.25" customHeight="1" x14ac:dyDescent="0.25">
      <c r="B25" s="209"/>
      <c r="C25" s="179"/>
      <c r="D25" s="179"/>
      <c r="E25" s="179"/>
      <c r="F25" s="215"/>
      <c r="I25" s="181"/>
      <c r="J25" s="179"/>
      <c r="K25" s="179"/>
      <c r="L25" s="179"/>
      <c r="M25" s="180"/>
    </row>
    <row r="26" spans="2:15" ht="14.25" customHeight="1" x14ac:dyDescent="0.25">
      <c r="B26" s="209"/>
      <c r="C26" s="179"/>
      <c r="D26" s="179"/>
      <c r="E26" s="179"/>
      <c r="F26" s="215"/>
      <c r="I26" s="181"/>
      <c r="J26" s="179"/>
      <c r="K26" s="179"/>
      <c r="L26" s="179"/>
      <c r="M26" s="180"/>
    </row>
    <row r="27" spans="2:15" ht="14.25" customHeight="1" x14ac:dyDescent="0.25">
      <c r="B27" s="209"/>
      <c r="C27" s="179"/>
      <c r="D27" s="179"/>
      <c r="E27" s="179"/>
      <c r="F27" s="215"/>
      <c r="I27" s="181"/>
      <c r="J27" s="179"/>
      <c r="K27" s="179"/>
      <c r="L27" s="179"/>
      <c r="M27" s="180"/>
    </row>
    <row r="28" spans="2:15" ht="14.25" customHeight="1" x14ac:dyDescent="0.25">
      <c r="B28" s="209"/>
      <c r="C28" s="179"/>
      <c r="D28" s="179"/>
      <c r="E28" s="179"/>
      <c r="F28" s="215"/>
      <c r="I28" s="181"/>
      <c r="J28" s="179"/>
      <c r="K28" s="179"/>
      <c r="L28" s="179"/>
      <c r="M28" s="180"/>
    </row>
    <row r="29" spans="2:15" ht="14.25" customHeight="1" x14ac:dyDescent="0.25">
      <c r="B29" s="209"/>
      <c r="C29" s="179"/>
      <c r="D29" s="179"/>
      <c r="E29" s="179"/>
      <c r="F29" s="215"/>
      <c r="I29" s="181"/>
      <c r="J29" s="179"/>
      <c r="K29" s="179"/>
      <c r="L29" s="179"/>
      <c r="M29" s="180"/>
    </row>
    <row r="30" spans="2:15" ht="14.25" customHeight="1" x14ac:dyDescent="0.25">
      <c r="B30" s="209"/>
      <c r="C30" s="179"/>
      <c r="D30" s="179"/>
      <c r="E30" s="179"/>
      <c r="F30" s="215"/>
      <c r="I30" s="181"/>
      <c r="J30" s="179"/>
      <c r="K30" s="179"/>
      <c r="L30" s="179"/>
      <c r="M30" s="180"/>
    </row>
    <row r="31" spans="2:15" ht="14.25" customHeight="1" x14ac:dyDescent="0.25">
      <c r="B31" s="209"/>
      <c r="C31" s="179"/>
      <c r="D31" s="179"/>
      <c r="E31" s="179"/>
      <c r="F31" s="215"/>
      <c r="I31" s="181"/>
      <c r="J31" s="179"/>
      <c r="K31" s="179"/>
      <c r="L31" s="179"/>
      <c r="M31" s="180"/>
    </row>
    <row r="32" spans="2:15" ht="14.25" customHeight="1" x14ac:dyDescent="0.25">
      <c r="B32" s="209"/>
      <c r="C32" s="179"/>
      <c r="D32" s="179"/>
      <c r="E32" s="179"/>
      <c r="F32" s="215"/>
      <c r="I32" s="181"/>
      <c r="J32" s="179"/>
      <c r="K32" s="179"/>
      <c r="L32" s="179"/>
      <c r="M32" s="180"/>
    </row>
    <row r="33" spans="2:13" ht="14.25" customHeight="1" x14ac:dyDescent="0.25">
      <c r="B33" s="209"/>
      <c r="C33" s="179"/>
      <c r="D33" s="179"/>
      <c r="E33" s="179"/>
      <c r="F33" s="215"/>
      <c r="I33" s="181"/>
      <c r="J33" s="179"/>
      <c r="K33" s="179"/>
      <c r="L33" s="179"/>
      <c r="M33" s="180"/>
    </row>
    <row r="34" spans="2:13" ht="14.25" customHeight="1" x14ac:dyDescent="0.25">
      <c r="B34" s="218"/>
      <c r="C34" s="216"/>
      <c r="D34" s="216"/>
      <c r="E34" s="216"/>
      <c r="F34" s="219"/>
      <c r="I34" s="222"/>
      <c r="J34" s="223"/>
      <c r="K34" s="223"/>
      <c r="L34" s="223"/>
      <c r="M34" s="224"/>
    </row>
    <row r="35" spans="2:13" ht="10.7" customHeight="1" x14ac:dyDescent="0.25"/>
    <row r="36" spans="2:13" ht="14.25" customHeight="1" x14ac:dyDescent="0.25"/>
    <row r="37" spans="2:13" ht="14.25" customHeight="1" x14ac:dyDescent="0.25"/>
    <row r="38" spans="2:13" ht="14.25" customHeight="1" x14ac:dyDescent="0.25">
      <c r="B38" s="166" t="str">
        <f>+'Data Input'!B83</f>
        <v xml:space="preserve">For more information on our unit's finances, contact Melanie Doughty at (231) 689-7223. </v>
      </c>
    </row>
    <row r="39" spans="2:13" ht="14.25" customHeight="1" x14ac:dyDescent="0.25"/>
  </sheetData>
  <sheetProtection formatCells="0" formatColumns="0" formatRows="0" insertColumns="0" insertRows="0" deleteColumns="0" deleteRows="0"/>
  <mergeCells count="7">
    <mergeCell ref="I17:J17"/>
    <mergeCell ref="B20:F20"/>
    <mergeCell ref="I7:J7"/>
    <mergeCell ref="I8:J8"/>
    <mergeCell ref="I10:J10"/>
    <mergeCell ref="I16:K16"/>
    <mergeCell ref="I19:J19"/>
  </mergeCells>
  <phoneticPr fontId="23" type="noConversion"/>
  <printOptions horizontalCentered="1" verticalCentered="1"/>
  <pageMargins left="0.2" right="0.2" top="0.5" bottom="0.5" header="0.3" footer="0.3"/>
  <pageSetup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C2:S38"/>
  <sheetViews>
    <sheetView showGridLines="0" zoomScaleNormal="100" workbookViewId="0">
      <selection activeCell="D42" sqref="D42"/>
    </sheetView>
  </sheetViews>
  <sheetFormatPr defaultColWidth="1.42578125" defaultRowHeight="15" customHeight="1" x14ac:dyDescent="0.25"/>
  <cols>
    <col min="1" max="2" width="1.42578125" style="113" customWidth="1"/>
    <col min="3" max="7" width="10.7109375" style="113" customWidth="1"/>
    <col min="8" max="8" width="1" style="113" customWidth="1"/>
    <col min="9" max="10" width="10.5703125" style="113" customWidth="1"/>
    <col min="11" max="11" width="9.140625" style="113" customWidth="1"/>
    <col min="12" max="13" width="10.5703125" style="113" customWidth="1"/>
    <col min="14" max="14" width="1" style="113" customWidth="1"/>
    <col min="15" max="16" width="10.7109375" style="113" customWidth="1"/>
    <col min="17" max="18" width="12.140625" style="113" customWidth="1"/>
    <col min="19" max="19" width="10.7109375" style="113" customWidth="1"/>
    <col min="20" max="20" width="2.85546875" style="113" customWidth="1"/>
    <col min="21" max="43" width="6.5703125" style="113" customWidth="1"/>
    <col min="44" max="16384" width="1.42578125" style="113"/>
  </cols>
  <sheetData>
    <row r="2" spans="3:19" s="166" customFormat="1" ht="15" customHeight="1" x14ac:dyDescent="0.25">
      <c r="C2" s="165" t="str">
        <f>+'Data Input'!B1</f>
        <v xml:space="preserve">CITIZENS' GUIDE TO LOCAL UNIT FINANCES - Newaygo County </v>
      </c>
      <c r="L2" s="167" t="s">
        <v>43</v>
      </c>
      <c r="P2" s="168"/>
      <c r="Q2" s="167"/>
    </row>
    <row r="3" spans="3:19" ht="23.25" customHeight="1" x14ac:dyDescent="0.25">
      <c r="C3" s="169"/>
      <c r="R3" s="170"/>
    </row>
    <row r="4" spans="3:19" ht="15" customHeight="1" x14ac:dyDescent="0.25">
      <c r="C4" s="290" t="s">
        <v>153</v>
      </c>
      <c r="D4" s="291"/>
      <c r="E4" s="291"/>
      <c r="F4" s="171"/>
      <c r="G4" s="172"/>
      <c r="I4" s="290" t="s">
        <v>68</v>
      </c>
      <c r="J4" s="291"/>
      <c r="K4" s="291"/>
      <c r="L4" s="292"/>
      <c r="M4" s="172"/>
      <c r="O4" s="290" t="s">
        <v>24</v>
      </c>
      <c r="P4" s="291"/>
      <c r="Q4" s="291"/>
      <c r="R4" s="291"/>
      <c r="S4" s="171"/>
    </row>
    <row r="5" spans="3:19" ht="15" customHeight="1" x14ac:dyDescent="0.25">
      <c r="C5" s="114"/>
      <c r="D5" s="112"/>
      <c r="E5" s="112"/>
      <c r="F5" s="112"/>
      <c r="G5" s="115"/>
      <c r="I5" s="114"/>
      <c r="J5" s="112"/>
      <c r="K5" s="112"/>
      <c r="L5" s="112"/>
      <c r="M5" s="115"/>
      <c r="O5" s="114"/>
      <c r="P5" s="112"/>
      <c r="Q5" s="112"/>
      <c r="R5" s="112"/>
      <c r="S5" s="115"/>
    </row>
    <row r="6" spans="3:19" ht="15" customHeight="1" x14ac:dyDescent="0.25">
      <c r="C6" s="114"/>
      <c r="D6" s="112"/>
      <c r="E6" s="112"/>
      <c r="F6" s="112"/>
      <c r="G6" s="115"/>
      <c r="I6" s="114"/>
      <c r="J6" s="112"/>
      <c r="K6" s="112"/>
      <c r="L6" s="112"/>
      <c r="M6" s="115"/>
      <c r="O6" s="114"/>
      <c r="P6" s="112"/>
      <c r="Q6" s="112"/>
      <c r="R6" s="112"/>
      <c r="S6" s="115"/>
    </row>
    <row r="7" spans="3:19" ht="15" customHeight="1" x14ac:dyDescent="0.25">
      <c r="C7" s="114"/>
      <c r="D7" s="112"/>
      <c r="E7" s="112"/>
      <c r="F7" s="112"/>
      <c r="G7" s="115"/>
      <c r="I7" s="114"/>
      <c r="J7" s="112"/>
      <c r="K7" s="112"/>
      <c r="L7" s="112"/>
      <c r="M7" s="115"/>
      <c r="O7" s="114"/>
      <c r="P7" s="112"/>
      <c r="Q7" s="112"/>
      <c r="R7" s="112"/>
      <c r="S7" s="115"/>
    </row>
    <row r="8" spans="3:19" ht="15" customHeight="1" x14ac:dyDescent="0.25">
      <c r="C8" s="114"/>
      <c r="D8" s="112"/>
      <c r="E8" s="112"/>
      <c r="F8" s="112"/>
      <c r="G8" s="115"/>
      <c r="I8" s="114"/>
      <c r="J8" s="112"/>
      <c r="K8" s="112"/>
      <c r="L8" s="112"/>
      <c r="M8" s="115"/>
      <c r="O8" s="114"/>
      <c r="P8" s="112"/>
      <c r="Q8" s="112"/>
      <c r="R8" s="112"/>
      <c r="S8" s="115"/>
    </row>
    <row r="9" spans="3:19" ht="15" customHeight="1" x14ac:dyDescent="0.25">
      <c r="C9" s="114"/>
      <c r="D9" s="112"/>
      <c r="E9" s="112"/>
      <c r="F9" s="112"/>
      <c r="G9" s="115"/>
      <c r="I9" s="114"/>
      <c r="J9" s="112"/>
      <c r="K9" s="112"/>
      <c r="L9" s="112"/>
      <c r="M9" s="115"/>
      <c r="O9" s="114"/>
      <c r="P9" s="112"/>
      <c r="Q9" s="112"/>
      <c r="R9" s="112"/>
      <c r="S9" s="115"/>
    </row>
    <row r="10" spans="3:19" ht="15" customHeight="1" x14ac:dyDescent="0.25">
      <c r="C10" s="114"/>
      <c r="D10" s="112"/>
      <c r="E10" s="112"/>
      <c r="F10" s="112"/>
      <c r="G10" s="115"/>
      <c r="I10" s="114"/>
      <c r="J10" s="112"/>
      <c r="K10" s="112"/>
      <c r="L10" s="112"/>
      <c r="M10" s="115"/>
      <c r="O10" s="114"/>
      <c r="P10" s="112"/>
      <c r="Q10" s="112"/>
      <c r="R10" s="112"/>
      <c r="S10" s="115"/>
    </row>
    <row r="11" spans="3:19" ht="15" customHeight="1" x14ac:dyDescent="0.25">
      <c r="C11" s="114"/>
      <c r="D11" s="112"/>
      <c r="E11" s="112"/>
      <c r="F11" s="112"/>
      <c r="G11" s="115"/>
      <c r="I11" s="114"/>
      <c r="J11" s="112"/>
      <c r="K11" s="112"/>
      <c r="L11" s="112"/>
      <c r="M11" s="115"/>
      <c r="O11" s="114"/>
      <c r="P11" s="112"/>
      <c r="Q11" s="112"/>
      <c r="R11" s="112"/>
      <c r="S11" s="115"/>
    </row>
    <row r="12" spans="3:19" ht="15" customHeight="1" x14ac:dyDescent="0.25">
      <c r="C12" s="114"/>
      <c r="D12" s="112"/>
      <c r="E12" s="112"/>
      <c r="F12" s="112"/>
      <c r="G12" s="115"/>
      <c r="I12" s="114"/>
      <c r="J12" s="112"/>
      <c r="K12" s="112"/>
      <c r="L12" s="112"/>
      <c r="M12" s="115"/>
      <c r="O12" s="114"/>
      <c r="P12" s="112"/>
      <c r="Q12" s="112"/>
      <c r="R12" s="112"/>
      <c r="S12" s="115"/>
    </row>
    <row r="13" spans="3:19" ht="15" customHeight="1" x14ac:dyDescent="0.25">
      <c r="C13" s="114"/>
      <c r="D13" s="112"/>
      <c r="E13" s="112"/>
      <c r="F13" s="112"/>
      <c r="G13" s="115"/>
      <c r="I13" s="114"/>
      <c r="J13" s="112"/>
      <c r="K13" s="112"/>
      <c r="L13" s="112"/>
      <c r="M13" s="115"/>
      <c r="O13" s="114"/>
      <c r="P13" s="112"/>
      <c r="Q13" s="112"/>
      <c r="R13" s="112"/>
      <c r="S13" s="115"/>
    </row>
    <row r="14" spans="3:19" ht="15" customHeight="1" x14ac:dyDescent="0.25">
      <c r="C14" s="114"/>
      <c r="D14" s="112"/>
      <c r="E14" s="112"/>
      <c r="F14" s="112"/>
      <c r="G14" s="115"/>
      <c r="I14" s="114"/>
      <c r="J14" s="112"/>
      <c r="K14" s="112"/>
      <c r="L14" s="112"/>
      <c r="M14" s="115"/>
      <c r="O14" s="114"/>
      <c r="P14" s="112"/>
      <c r="Q14" s="112"/>
      <c r="R14" s="112"/>
      <c r="S14" s="115"/>
    </row>
    <row r="15" spans="3:19" ht="15" customHeight="1" x14ac:dyDescent="0.25">
      <c r="C15" s="114"/>
      <c r="D15" s="112"/>
      <c r="E15" s="112"/>
      <c r="F15" s="112"/>
      <c r="G15" s="115"/>
      <c r="I15" s="114"/>
      <c r="J15" s="112"/>
      <c r="K15" s="112"/>
      <c r="L15" s="112"/>
      <c r="M15" s="115"/>
      <c r="O15" s="114"/>
      <c r="P15" s="112"/>
      <c r="Q15" s="112"/>
      <c r="R15" s="112"/>
      <c r="S15" s="115"/>
    </row>
    <row r="16" spans="3:19" ht="15" customHeight="1" x14ac:dyDescent="0.25">
      <c r="C16" s="114"/>
      <c r="D16" s="112"/>
      <c r="E16" s="112"/>
      <c r="F16" s="112"/>
      <c r="G16" s="115"/>
      <c r="I16" s="114"/>
      <c r="J16" s="112"/>
      <c r="K16" s="112"/>
      <c r="L16" s="112"/>
      <c r="M16" s="115"/>
      <c r="O16" s="114"/>
      <c r="P16" s="112"/>
      <c r="Q16" s="112"/>
      <c r="R16" s="112"/>
      <c r="S16" s="115"/>
    </row>
    <row r="17" spans="3:19" ht="15" customHeight="1" x14ac:dyDescent="0.25">
      <c r="C17" s="114"/>
      <c r="D17" s="112"/>
      <c r="E17" s="112"/>
      <c r="F17" s="112"/>
      <c r="G17" s="115"/>
      <c r="I17" s="114"/>
      <c r="J17" s="112"/>
      <c r="K17" s="112"/>
      <c r="L17" s="112"/>
      <c r="M17" s="115"/>
      <c r="O17" s="114"/>
      <c r="P17" s="112"/>
      <c r="Q17" s="112"/>
      <c r="R17" s="112"/>
      <c r="S17" s="115"/>
    </row>
    <row r="18" spans="3:19" ht="15" customHeight="1" x14ac:dyDescent="0.25">
      <c r="C18" s="116"/>
      <c r="D18" s="117"/>
      <c r="E18" s="117"/>
      <c r="F18" s="117"/>
      <c r="G18" s="118"/>
      <c r="I18" s="116"/>
      <c r="J18" s="117"/>
      <c r="K18" s="117"/>
      <c r="L18" s="117"/>
      <c r="M18" s="118"/>
      <c r="O18" s="116"/>
      <c r="P18" s="117"/>
      <c r="Q18" s="117"/>
      <c r="R18" s="117"/>
      <c r="S18" s="118"/>
    </row>
    <row r="19" spans="3:19" ht="32.25" customHeight="1" x14ac:dyDescent="0.25"/>
    <row r="20" spans="3:19" ht="15" customHeight="1" x14ac:dyDescent="0.25">
      <c r="C20" s="290" t="s">
        <v>49</v>
      </c>
      <c r="D20" s="291"/>
      <c r="E20" s="291"/>
      <c r="F20" s="171"/>
      <c r="G20" s="172"/>
      <c r="H20" s="172"/>
      <c r="I20" s="172"/>
      <c r="J20" s="172"/>
      <c r="L20" s="162" t="s">
        <v>332</v>
      </c>
      <c r="M20" s="163"/>
      <c r="N20" s="163"/>
      <c r="O20" s="163"/>
      <c r="P20" s="163"/>
      <c r="Q20" s="163"/>
      <c r="R20" s="163"/>
      <c r="S20" s="173"/>
    </row>
    <row r="21" spans="3:19" ht="15" customHeight="1" x14ac:dyDescent="0.25">
      <c r="C21" s="114"/>
      <c r="D21" s="112"/>
      <c r="E21" s="112"/>
      <c r="F21" s="112"/>
      <c r="G21" s="112"/>
      <c r="H21" s="112"/>
      <c r="I21" s="112"/>
      <c r="J21" s="115"/>
      <c r="L21" s="114"/>
      <c r="M21" s="112"/>
      <c r="N21" s="112"/>
      <c r="O21" s="112"/>
      <c r="P21" s="112"/>
      <c r="Q21" s="112"/>
      <c r="R21" s="112"/>
      <c r="S21" s="115"/>
    </row>
    <row r="22" spans="3:19" ht="15" customHeight="1" x14ac:dyDescent="0.25">
      <c r="C22" s="114"/>
      <c r="D22" s="112"/>
      <c r="E22" s="112"/>
      <c r="F22" s="112"/>
      <c r="G22" s="112"/>
      <c r="H22" s="112"/>
      <c r="I22" s="112"/>
      <c r="J22" s="115"/>
      <c r="L22" s="114"/>
      <c r="M22" s="112"/>
      <c r="N22" s="112"/>
      <c r="O22" s="112"/>
      <c r="P22" s="112"/>
      <c r="Q22" s="112"/>
      <c r="R22" s="112"/>
      <c r="S22" s="115"/>
    </row>
    <row r="23" spans="3:19" ht="15" customHeight="1" x14ac:dyDescent="0.25">
      <c r="C23" s="114"/>
      <c r="D23" s="112"/>
      <c r="E23" s="112"/>
      <c r="F23" s="112"/>
      <c r="G23" s="112"/>
      <c r="H23" s="112"/>
      <c r="I23" s="112"/>
      <c r="J23" s="115"/>
      <c r="L23" s="114"/>
      <c r="M23" s="112"/>
      <c r="N23" s="112"/>
      <c r="O23" s="112"/>
      <c r="P23" s="112"/>
      <c r="Q23" s="112"/>
      <c r="R23" s="112"/>
      <c r="S23" s="115"/>
    </row>
    <row r="24" spans="3:19" ht="15" customHeight="1" x14ac:dyDescent="0.25">
      <c r="C24" s="114"/>
      <c r="D24" s="112"/>
      <c r="E24" s="112"/>
      <c r="F24" s="112"/>
      <c r="G24" s="112"/>
      <c r="H24" s="112"/>
      <c r="I24" s="112"/>
      <c r="J24" s="115"/>
      <c r="L24" s="114"/>
      <c r="M24" s="112"/>
      <c r="N24" s="112"/>
      <c r="O24" s="112"/>
      <c r="P24" s="112"/>
      <c r="Q24" s="112"/>
      <c r="R24" s="112"/>
      <c r="S24" s="115"/>
    </row>
    <row r="25" spans="3:19" ht="15" customHeight="1" x14ac:dyDescent="0.25">
      <c r="C25" s="114"/>
      <c r="D25" s="112"/>
      <c r="E25" s="112"/>
      <c r="F25" s="112"/>
      <c r="G25" s="112"/>
      <c r="H25" s="112"/>
      <c r="I25" s="112"/>
      <c r="J25" s="115"/>
      <c r="L25" s="114"/>
      <c r="M25" s="112"/>
      <c r="N25" s="112"/>
      <c r="O25" s="112"/>
      <c r="P25" s="112"/>
      <c r="Q25" s="112"/>
      <c r="R25" s="112"/>
      <c r="S25" s="115"/>
    </row>
    <row r="26" spans="3:19" ht="15" customHeight="1" x14ac:dyDescent="0.25">
      <c r="C26" s="114"/>
      <c r="D26" s="112"/>
      <c r="E26" s="112"/>
      <c r="F26" s="112"/>
      <c r="G26" s="112"/>
      <c r="H26" s="112"/>
      <c r="I26" s="112"/>
      <c r="J26" s="115"/>
      <c r="L26" s="114"/>
      <c r="M26" s="112"/>
      <c r="N26" s="112"/>
      <c r="O26" s="112"/>
      <c r="P26" s="112"/>
      <c r="Q26" s="112"/>
      <c r="R26" s="112"/>
      <c r="S26" s="115"/>
    </row>
    <row r="27" spans="3:19" ht="15" customHeight="1" x14ac:dyDescent="0.25">
      <c r="C27" s="114"/>
      <c r="D27" s="112"/>
      <c r="E27" s="112"/>
      <c r="F27" s="112"/>
      <c r="G27" s="112"/>
      <c r="H27" s="112"/>
      <c r="I27" s="112"/>
      <c r="J27" s="115"/>
      <c r="L27" s="114"/>
      <c r="M27" s="112"/>
      <c r="N27" s="112"/>
      <c r="O27" s="112"/>
      <c r="P27" s="112"/>
      <c r="Q27" s="112"/>
      <c r="R27" s="112"/>
      <c r="S27" s="115"/>
    </row>
    <row r="28" spans="3:19" ht="15" customHeight="1" x14ac:dyDescent="0.25">
      <c r="C28" s="114"/>
      <c r="D28" s="112"/>
      <c r="E28" s="112"/>
      <c r="F28" s="112"/>
      <c r="G28" s="112"/>
      <c r="H28" s="112"/>
      <c r="I28" s="112"/>
      <c r="J28" s="115"/>
      <c r="L28" s="114"/>
      <c r="M28" s="112"/>
      <c r="N28" s="112"/>
      <c r="O28" s="112"/>
      <c r="P28" s="112"/>
      <c r="Q28" s="112"/>
      <c r="R28" s="112"/>
      <c r="S28" s="115"/>
    </row>
    <row r="29" spans="3:19" ht="15" customHeight="1" x14ac:dyDescent="0.25">
      <c r="C29" s="114"/>
      <c r="D29" s="112"/>
      <c r="E29" s="112"/>
      <c r="F29" s="112"/>
      <c r="G29" s="112"/>
      <c r="H29" s="112"/>
      <c r="I29" s="112"/>
      <c r="J29" s="115"/>
      <c r="L29" s="114"/>
      <c r="M29" s="112"/>
      <c r="N29" s="112"/>
      <c r="O29" s="112"/>
      <c r="P29" s="112"/>
      <c r="Q29" s="112"/>
      <c r="R29" s="112"/>
      <c r="S29" s="115"/>
    </row>
    <row r="30" spans="3:19" ht="15" customHeight="1" x14ac:dyDescent="0.25">
      <c r="C30" s="114"/>
      <c r="D30" s="112"/>
      <c r="E30" s="112"/>
      <c r="F30" s="112"/>
      <c r="G30" s="112"/>
      <c r="H30" s="112"/>
      <c r="I30" s="112"/>
      <c r="J30" s="115"/>
      <c r="L30" s="114"/>
      <c r="M30" s="112"/>
      <c r="N30" s="112"/>
      <c r="O30" s="112"/>
      <c r="P30" s="112"/>
      <c r="Q30" s="112"/>
      <c r="R30" s="112"/>
      <c r="S30" s="115"/>
    </row>
    <row r="31" spans="3:19" ht="15" customHeight="1" x14ac:dyDescent="0.25">
      <c r="C31" s="114"/>
      <c r="D31" s="112"/>
      <c r="E31" s="112"/>
      <c r="F31" s="112"/>
      <c r="G31" s="112"/>
      <c r="H31" s="112"/>
      <c r="I31" s="112"/>
      <c r="J31" s="115"/>
      <c r="L31" s="114"/>
      <c r="M31" s="112"/>
      <c r="N31" s="112"/>
      <c r="O31" s="112"/>
      <c r="P31" s="112"/>
      <c r="Q31" s="112"/>
      <c r="R31" s="112"/>
      <c r="S31" s="115"/>
    </row>
    <row r="32" spans="3:19" ht="15" customHeight="1" x14ac:dyDescent="0.25">
      <c r="C32" s="114"/>
      <c r="D32" s="112"/>
      <c r="E32" s="112"/>
      <c r="F32" s="112"/>
      <c r="G32" s="112"/>
      <c r="H32" s="112"/>
      <c r="I32" s="112"/>
      <c r="J32" s="115"/>
      <c r="L32" s="114"/>
      <c r="M32" s="112"/>
      <c r="N32" s="112"/>
      <c r="O32" s="112"/>
      <c r="P32" s="112"/>
      <c r="Q32" s="112"/>
      <c r="R32" s="112"/>
      <c r="S32" s="115"/>
    </row>
    <row r="33" spans="3:19" ht="15" customHeight="1" x14ac:dyDescent="0.25">
      <c r="C33" s="114"/>
      <c r="D33" s="112"/>
      <c r="E33" s="112"/>
      <c r="F33" s="112"/>
      <c r="G33" s="112"/>
      <c r="H33" s="112"/>
      <c r="I33" s="112"/>
      <c r="J33" s="115"/>
      <c r="L33" s="114"/>
      <c r="M33" s="112"/>
      <c r="N33" s="112"/>
      <c r="O33" s="112"/>
      <c r="P33" s="112"/>
      <c r="Q33" s="112"/>
      <c r="R33" s="112"/>
      <c r="S33" s="115"/>
    </row>
    <row r="34" spans="3:19" ht="15" customHeight="1" x14ac:dyDescent="0.25">
      <c r="C34" s="114"/>
      <c r="D34" s="112"/>
      <c r="E34" s="112"/>
      <c r="F34" s="112"/>
      <c r="G34" s="112"/>
      <c r="H34" s="112"/>
      <c r="I34" s="112"/>
      <c r="J34" s="115"/>
      <c r="L34" s="114"/>
      <c r="M34" s="112"/>
      <c r="N34" s="112"/>
      <c r="O34" s="112"/>
      <c r="P34" s="112"/>
      <c r="Q34" s="112"/>
      <c r="R34" s="112"/>
      <c r="S34" s="115"/>
    </row>
    <row r="35" spans="3:19" ht="15" customHeight="1" x14ac:dyDescent="0.25">
      <c r="C35" s="116"/>
      <c r="D35" s="117"/>
      <c r="E35" s="117"/>
      <c r="F35" s="117"/>
      <c r="G35" s="117"/>
      <c r="H35" s="117"/>
      <c r="I35" s="117"/>
      <c r="J35" s="118"/>
      <c r="L35" s="116"/>
      <c r="M35" s="117"/>
      <c r="N35" s="117"/>
      <c r="O35" s="117"/>
      <c r="P35" s="117"/>
      <c r="Q35" s="117"/>
      <c r="R35" s="117"/>
      <c r="S35" s="118"/>
    </row>
    <row r="38" spans="3:19" ht="15" customHeight="1" x14ac:dyDescent="0.25">
      <c r="C38" s="113" t="str">
        <f>+'Data Input'!B83</f>
        <v xml:space="preserve">For more information on our unit's finances, contact Melanie Doughty at (231) 689-7223. </v>
      </c>
    </row>
  </sheetData>
  <sheetProtection formatCells="0" formatColumns="0" formatRows="0" insertColumns="0" insertRows="0" deleteColumns="0" deleteRows="0"/>
  <mergeCells count="4">
    <mergeCell ref="C4:E4"/>
    <mergeCell ref="C20:E20"/>
    <mergeCell ref="O4:R4"/>
    <mergeCell ref="I4:L4"/>
  </mergeCells>
  <phoneticPr fontId="23" type="noConversion"/>
  <printOptions horizontalCentered="1" verticalCentered="1"/>
  <pageMargins left="0.25" right="0.25" top="0.5" bottom="0.5" header="0.3" footer="0.3"/>
  <pageSetup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3"/>
  <sheetViews>
    <sheetView workbookViewId="0">
      <pane xSplit="2" ySplit="1" topLeftCell="I119" activePane="bottomRight" state="frozen"/>
      <selection pane="topRight" activeCell="C1" sqref="C1"/>
      <selection pane="bottomLeft" activeCell="A2" sqref="A2"/>
      <selection pane="bottomRight" activeCell="A88" sqref="A88:XFD88"/>
    </sheetView>
  </sheetViews>
  <sheetFormatPr defaultColWidth="9" defaultRowHeight="15" customHeight="1" x14ac:dyDescent="0.25"/>
  <cols>
    <col min="1" max="1" width="9.140625" customWidth="1"/>
    <col min="2" max="2" width="48.42578125" customWidth="1"/>
    <col min="3" max="3" width="33.140625" customWidth="1"/>
    <col min="4" max="8" width="0" hidden="1" customWidth="1"/>
    <col min="9" max="9" width="10.5703125" bestFit="1" customWidth="1"/>
    <col min="10" max="11" width="11.5703125" bestFit="1" customWidth="1"/>
    <col min="12" max="12" width="10.5703125" bestFit="1" customWidth="1"/>
    <col min="13" max="13" width="11.5703125" bestFit="1" customWidth="1"/>
    <col min="14" max="14" width="10.5703125" bestFit="1" customWidth="1"/>
  </cols>
  <sheetData>
    <row r="1" spans="1:14" ht="17.25" customHeight="1" x14ac:dyDescent="0.25">
      <c r="A1" s="7" t="s">
        <v>154</v>
      </c>
      <c r="B1" s="7" t="s">
        <v>164</v>
      </c>
      <c r="C1" s="7" t="s">
        <v>65</v>
      </c>
      <c r="D1" s="7" t="e">
        <f>+'Data Input'!#REF!</f>
        <v>#REF!</v>
      </c>
      <c r="E1" s="7" t="e">
        <f>+'Data Input'!#REF!</f>
        <v>#REF!</v>
      </c>
      <c r="F1" s="7" t="e">
        <f>+'Data Input'!#REF!</f>
        <v>#REF!</v>
      </c>
      <c r="G1" s="7" t="e">
        <f>+'Data Input'!#REF!</f>
        <v>#REF!</v>
      </c>
      <c r="H1" s="7">
        <f>+'Data Input'!D3</f>
        <v>2004</v>
      </c>
      <c r="I1" s="7">
        <f>+'Data Input'!E3</f>
        <v>2005</v>
      </c>
      <c r="J1" s="7">
        <f>+'Data Input'!F3</f>
        <v>2006</v>
      </c>
      <c r="K1" s="7">
        <f>+'Data Input'!G3</f>
        <v>2007</v>
      </c>
      <c r="L1" s="7">
        <f>+'Data Input'!H3</f>
        <v>2008</v>
      </c>
      <c r="M1" s="7">
        <f>+'Data Input'!I3</f>
        <v>2009</v>
      </c>
      <c r="N1" s="7">
        <f>+'Data Input'!J3</f>
        <v>2010</v>
      </c>
    </row>
    <row r="2" spans="1:14" ht="15" customHeight="1" x14ac:dyDescent="0.25">
      <c r="B2" s="6" t="s">
        <v>104</v>
      </c>
      <c r="C2" s="6"/>
    </row>
    <row r="3" spans="1:14" ht="15" customHeight="1" x14ac:dyDescent="0.25">
      <c r="B3" t="s">
        <v>132</v>
      </c>
    </row>
    <row r="4" spans="1:14" ht="15" customHeight="1" x14ac:dyDescent="0.25">
      <c r="A4">
        <v>101</v>
      </c>
      <c r="B4" t="s">
        <v>42</v>
      </c>
      <c r="C4" s="15" t="s">
        <v>214</v>
      </c>
      <c r="I4">
        <v>9631581</v>
      </c>
      <c r="J4">
        <v>10536355</v>
      </c>
      <c r="K4">
        <v>11436383</v>
      </c>
      <c r="L4">
        <v>9929870</v>
      </c>
      <c r="M4">
        <v>10213169</v>
      </c>
      <c r="N4">
        <v>9231664</v>
      </c>
    </row>
    <row r="5" spans="1:14" ht="15" customHeight="1" x14ac:dyDescent="0.25">
      <c r="A5">
        <v>102</v>
      </c>
      <c r="B5" t="s">
        <v>23</v>
      </c>
      <c r="C5" s="15" t="s">
        <v>214</v>
      </c>
      <c r="I5">
        <v>0</v>
      </c>
      <c r="J5">
        <v>0</v>
      </c>
      <c r="K5">
        <v>0</v>
      </c>
      <c r="L5">
        <v>0</v>
      </c>
      <c r="M5">
        <v>0</v>
      </c>
      <c r="N5">
        <v>0</v>
      </c>
    </row>
    <row r="6" spans="1:14" ht="15" customHeight="1" x14ac:dyDescent="0.25">
      <c r="A6">
        <v>103</v>
      </c>
      <c r="B6" t="s">
        <v>64</v>
      </c>
      <c r="C6" s="15" t="s">
        <v>214</v>
      </c>
      <c r="I6">
        <v>0</v>
      </c>
      <c r="J6">
        <v>0</v>
      </c>
      <c r="K6">
        <v>0</v>
      </c>
      <c r="L6">
        <v>0</v>
      </c>
      <c r="M6">
        <v>0</v>
      </c>
      <c r="N6">
        <v>0</v>
      </c>
    </row>
    <row r="7" spans="1:14" ht="15" customHeight="1" x14ac:dyDescent="0.25">
      <c r="A7">
        <v>104</v>
      </c>
      <c r="B7" t="s">
        <v>28</v>
      </c>
      <c r="C7" s="15" t="s">
        <v>214</v>
      </c>
      <c r="I7">
        <v>0</v>
      </c>
      <c r="J7">
        <v>0</v>
      </c>
      <c r="K7">
        <v>5280</v>
      </c>
      <c r="L7">
        <v>4724</v>
      </c>
      <c r="M7">
        <v>0</v>
      </c>
      <c r="N7">
        <v>0</v>
      </c>
    </row>
    <row r="8" spans="1:14" ht="15" customHeight="1" x14ac:dyDescent="0.25">
      <c r="A8">
        <v>105</v>
      </c>
      <c r="B8" t="s">
        <v>106</v>
      </c>
      <c r="C8" s="15" t="s">
        <v>214</v>
      </c>
      <c r="I8">
        <v>0</v>
      </c>
      <c r="J8">
        <v>0</v>
      </c>
      <c r="K8">
        <v>0</v>
      </c>
      <c r="L8">
        <v>0</v>
      </c>
      <c r="M8">
        <v>0</v>
      </c>
      <c r="N8">
        <v>0</v>
      </c>
    </row>
    <row r="9" spans="1:14" ht="15" customHeight="1" x14ac:dyDescent="0.25">
      <c r="A9">
        <v>106</v>
      </c>
      <c r="B9" t="s">
        <v>73</v>
      </c>
      <c r="C9" s="15" t="s">
        <v>214</v>
      </c>
      <c r="I9">
        <v>86005</v>
      </c>
      <c r="J9">
        <v>73797</v>
      </c>
      <c r="K9">
        <v>75689</v>
      </c>
      <c r="L9">
        <v>53979</v>
      </c>
      <c r="M9">
        <v>53157</v>
      </c>
      <c r="N9">
        <v>8894</v>
      </c>
    </row>
    <row r="10" spans="1:14" ht="15" customHeight="1" x14ac:dyDescent="0.25">
      <c r="A10">
        <v>107</v>
      </c>
      <c r="B10" t="s">
        <v>110</v>
      </c>
      <c r="C10" s="15" t="s">
        <v>214</v>
      </c>
      <c r="I10">
        <v>0</v>
      </c>
      <c r="J10">
        <v>0</v>
      </c>
      <c r="K10">
        <v>0</v>
      </c>
      <c r="L10">
        <v>0</v>
      </c>
      <c r="M10">
        <v>0</v>
      </c>
      <c r="N10">
        <v>0</v>
      </c>
    </row>
    <row r="11" spans="1:14" ht="15" customHeight="1" x14ac:dyDescent="0.25">
      <c r="A11">
        <v>108</v>
      </c>
      <c r="B11" t="s">
        <v>52</v>
      </c>
      <c r="C11" s="15" t="s">
        <v>115</v>
      </c>
      <c r="I11">
        <v>0</v>
      </c>
      <c r="J11">
        <v>34580</v>
      </c>
      <c r="K11">
        <v>0</v>
      </c>
      <c r="L11">
        <v>0</v>
      </c>
      <c r="M11">
        <v>0</v>
      </c>
      <c r="N11">
        <v>0</v>
      </c>
    </row>
    <row r="12" spans="1:14" ht="15" customHeight="1" x14ac:dyDescent="0.25">
      <c r="A12">
        <v>109</v>
      </c>
      <c r="B12" t="s">
        <v>50</v>
      </c>
      <c r="C12" s="15" t="s">
        <v>115</v>
      </c>
      <c r="I12">
        <v>40632</v>
      </c>
      <c r="J12">
        <v>0</v>
      </c>
      <c r="K12">
        <v>36048</v>
      </c>
      <c r="L12">
        <v>30094</v>
      </c>
      <c r="M12">
        <v>38476</v>
      </c>
      <c r="N12">
        <v>42193</v>
      </c>
    </row>
    <row r="13" spans="1:14" ht="15" customHeight="1" x14ac:dyDescent="0.25">
      <c r="A13">
        <v>110</v>
      </c>
      <c r="B13" t="s">
        <v>107</v>
      </c>
      <c r="C13" s="15" t="s">
        <v>75</v>
      </c>
      <c r="I13">
        <v>0</v>
      </c>
      <c r="J13">
        <v>0</v>
      </c>
      <c r="K13">
        <v>0</v>
      </c>
      <c r="L13">
        <v>0</v>
      </c>
      <c r="M13">
        <v>234532</v>
      </c>
      <c r="N13">
        <v>443478</v>
      </c>
    </row>
    <row r="14" spans="1:14" ht="15" customHeight="1" x14ac:dyDescent="0.25">
      <c r="A14">
        <v>111</v>
      </c>
      <c r="B14" t="s">
        <v>160</v>
      </c>
      <c r="C14" s="15" t="s">
        <v>75</v>
      </c>
      <c r="I14">
        <v>155830</v>
      </c>
      <c r="J14">
        <v>127279</v>
      </c>
      <c r="K14">
        <v>60058</v>
      </c>
      <c r="L14">
        <v>115685</v>
      </c>
      <c r="M14">
        <v>167496</v>
      </c>
      <c r="N14">
        <v>190322</v>
      </c>
    </row>
    <row r="15" spans="1:14" ht="15" customHeight="1" x14ac:dyDescent="0.25">
      <c r="A15">
        <v>112</v>
      </c>
      <c r="B15" t="s">
        <v>208</v>
      </c>
      <c r="C15" s="15" t="s">
        <v>75</v>
      </c>
      <c r="I15">
        <v>0</v>
      </c>
      <c r="J15">
        <v>0</v>
      </c>
      <c r="K15">
        <v>0</v>
      </c>
      <c r="L15">
        <v>0</v>
      </c>
      <c r="M15">
        <v>0</v>
      </c>
      <c r="N15">
        <v>0</v>
      </c>
    </row>
    <row r="16" spans="1:14" ht="15" customHeight="1" x14ac:dyDescent="0.25">
      <c r="A16">
        <v>113</v>
      </c>
      <c r="B16" t="s">
        <v>69</v>
      </c>
      <c r="C16" s="15" t="s">
        <v>75</v>
      </c>
      <c r="I16">
        <v>0</v>
      </c>
      <c r="J16">
        <v>0</v>
      </c>
      <c r="K16">
        <v>0</v>
      </c>
      <c r="L16">
        <v>0</v>
      </c>
      <c r="M16">
        <v>0</v>
      </c>
      <c r="N16">
        <v>0</v>
      </c>
    </row>
    <row r="17" spans="1:14" ht="15" customHeight="1" x14ac:dyDescent="0.25">
      <c r="A17">
        <v>114</v>
      </c>
      <c r="B17" t="s">
        <v>223</v>
      </c>
      <c r="C17" s="15" t="s">
        <v>75</v>
      </c>
      <c r="I17">
        <v>0</v>
      </c>
      <c r="J17">
        <v>0</v>
      </c>
      <c r="K17">
        <v>0</v>
      </c>
      <c r="L17">
        <v>0</v>
      </c>
      <c r="M17">
        <v>23200</v>
      </c>
      <c r="N17">
        <v>20592</v>
      </c>
    </row>
    <row r="18" spans="1:14" ht="15" customHeight="1" x14ac:dyDescent="0.25">
      <c r="A18">
        <v>115</v>
      </c>
      <c r="B18" t="s">
        <v>175</v>
      </c>
      <c r="C18" s="15" t="s">
        <v>75</v>
      </c>
      <c r="I18">
        <v>617023</v>
      </c>
      <c r="J18">
        <v>668299</v>
      </c>
      <c r="K18">
        <v>700732</v>
      </c>
      <c r="L18">
        <v>668901</v>
      </c>
      <c r="M18">
        <v>663277</v>
      </c>
      <c r="N18">
        <v>812352</v>
      </c>
    </row>
    <row r="19" spans="1:14" ht="15" customHeight="1" x14ac:dyDescent="0.25">
      <c r="A19">
        <v>116</v>
      </c>
      <c r="B19" t="s">
        <v>129</v>
      </c>
      <c r="C19" s="15" t="s">
        <v>75</v>
      </c>
      <c r="I19">
        <v>154916</v>
      </c>
      <c r="J19">
        <v>0</v>
      </c>
      <c r="K19">
        <v>0</v>
      </c>
      <c r="L19">
        <v>0</v>
      </c>
      <c r="M19">
        <v>0</v>
      </c>
      <c r="N19">
        <v>0</v>
      </c>
    </row>
    <row r="20" spans="1:14" ht="15" customHeight="1" x14ac:dyDescent="0.25">
      <c r="A20">
        <v>117</v>
      </c>
      <c r="B20" t="s">
        <v>156</v>
      </c>
      <c r="C20" s="15" t="s">
        <v>75</v>
      </c>
      <c r="I20">
        <v>0</v>
      </c>
      <c r="J20">
        <v>76390</v>
      </c>
      <c r="K20">
        <v>104227</v>
      </c>
      <c r="L20">
        <v>164169</v>
      </c>
      <c r="M20">
        <v>114300</v>
      </c>
      <c r="N20">
        <v>145019</v>
      </c>
    </row>
    <row r="21" spans="1:14" ht="15" customHeight="1" x14ac:dyDescent="0.25">
      <c r="A21">
        <v>118</v>
      </c>
      <c r="B21" t="s">
        <v>220</v>
      </c>
      <c r="C21" s="15" t="s">
        <v>75</v>
      </c>
      <c r="I21">
        <v>0</v>
      </c>
      <c r="J21">
        <v>0</v>
      </c>
      <c r="K21">
        <v>0</v>
      </c>
      <c r="L21">
        <v>0</v>
      </c>
      <c r="M21">
        <v>0</v>
      </c>
      <c r="N21">
        <v>0</v>
      </c>
    </row>
    <row r="22" spans="1:14" ht="15" customHeight="1" x14ac:dyDescent="0.25">
      <c r="A22">
        <v>119</v>
      </c>
      <c r="B22" t="s">
        <v>3</v>
      </c>
      <c r="C22" s="15" t="s">
        <v>75</v>
      </c>
      <c r="I22">
        <v>0</v>
      </c>
      <c r="J22">
        <v>0</v>
      </c>
      <c r="K22">
        <v>0</v>
      </c>
      <c r="L22">
        <v>0</v>
      </c>
      <c r="M22">
        <v>0</v>
      </c>
      <c r="N22">
        <v>0</v>
      </c>
    </row>
    <row r="23" spans="1:14" ht="15" customHeight="1" x14ac:dyDescent="0.25">
      <c r="A23">
        <v>120</v>
      </c>
      <c r="B23" t="s">
        <v>60</v>
      </c>
      <c r="C23" s="15" t="s">
        <v>75</v>
      </c>
      <c r="I23">
        <v>0</v>
      </c>
      <c r="J23">
        <v>0</v>
      </c>
      <c r="K23">
        <v>0</v>
      </c>
      <c r="L23">
        <v>0</v>
      </c>
      <c r="M23">
        <v>0</v>
      </c>
      <c r="N23">
        <v>0</v>
      </c>
    </row>
    <row r="24" spans="1:14" ht="15" customHeight="1" x14ac:dyDescent="0.25">
      <c r="A24">
        <v>121</v>
      </c>
      <c r="B24" t="s">
        <v>21</v>
      </c>
      <c r="C24" s="15" t="s">
        <v>75</v>
      </c>
      <c r="I24">
        <v>0</v>
      </c>
      <c r="J24">
        <v>0</v>
      </c>
      <c r="K24">
        <v>0</v>
      </c>
      <c r="L24">
        <v>0</v>
      </c>
      <c r="M24">
        <v>900</v>
      </c>
      <c r="N24">
        <v>38793</v>
      </c>
    </row>
    <row r="25" spans="1:14" ht="15" customHeight="1" x14ac:dyDescent="0.25">
      <c r="A25">
        <v>122</v>
      </c>
      <c r="B25" t="s">
        <v>74</v>
      </c>
      <c r="C25" s="15" t="s">
        <v>96</v>
      </c>
      <c r="I25">
        <v>0</v>
      </c>
      <c r="J25">
        <v>0</v>
      </c>
      <c r="K25">
        <v>0</v>
      </c>
      <c r="L25">
        <v>0</v>
      </c>
      <c r="M25">
        <v>0</v>
      </c>
      <c r="N25">
        <v>0</v>
      </c>
    </row>
    <row r="26" spans="1:14" ht="15" customHeight="1" x14ac:dyDescent="0.25">
      <c r="A26">
        <v>123</v>
      </c>
      <c r="B26" t="s">
        <v>71</v>
      </c>
      <c r="C26" s="15" t="s">
        <v>96</v>
      </c>
      <c r="I26">
        <v>643109</v>
      </c>
      <c r="J26">
        <v>800986</v>
      </c>
      <c r="K26">
        <v>826805</v>
      </c>
      <c r="L26">
        <v>722645</v>
      </c>
      <c r="M26">
        <v>705926</v>
      </c>
      <c r="N26">
        <v>659302</v>
      </c>
    </row>
    <row r="27" spans="1:14" ht="15" customHeight="1" x14ac:dyDescent="0.25">
      <c r="A27">
        <v>124</v>
      </c>
      <c r="B27" t="s">
        <v>212</v>
      </c>
      <c r="C27" s="15" t="s">
        <v>96</v>
      </c>
      <c r="I27">
        <v>0</v>
      </c>
      <c r="J27">
        <v>86794</v>
      </c>
      <c r="K27">
        <v>76871</v>
      </c>
      <c r="L27">
        <v>0</v>
      </c>
      <c r="M27">
        <v>145097</v>
      </c>
      <c r="N27">
        <v>53627</v>
      </c>
    </row>
    <row r="28" spans="1:14" ht="15" customHeight="1" x14ac:dyDescent="0.25">
      <c r="A28">
        <v>125</v>
      </c>
      <c r="B28" t="s">
        <v>222</v>
      </c>
      <c r="C28" s="15" t="s">
        <v>96</v>
      </c>
      <c r="I28">
        <v>0</v>
      </c>
      <c r="J28">
        <v>0</v>
      </c>
      <c r="K28">
        <v>0</v>
      </c>
      <c r="L28">
        <v>0</v>
      </c>
      <c r="M28">
        <v>0</v>
      </c>
      <c r="N28">
        <v>0</v>
      </c>
    </row>
    <row r="29" spans="1:14" ht="15" customHeight="1" x14ac:dyDescent="0.25">
      <c r="A29">
        <v>126</v>
      </c>
      <c r="B29" t="s">
        <v>94</v>
      </c>
      <c r="C29" s="15" t="s">
        <v>96</v>
      </c>
      <c r="I29">
        <v>329975</v>
      </c>
      <c r="J29">
        <v>150791</v>
      </c>
      <c r="K29">
        <v>138692</v>
      </c>
      <c r="L29">
        <v>152188</v>
      </c>
      <c r="M29">
        <v>141143</v>
      </c>
      <c r="N29">
        <v>147360</v>
      </c>
    </row>
    <row r="30" spans="1:14" ht="15" customHeight="1" x14ac:dyDescent="0.25">
      <c r="A30">
        <v>127</v>
      </c>
      <c r="B30" t="s">
        <v>217</v>
      </c>
      <c r="C30" s="15" t="s">
        <v>96</v>
      </c>
      <c r="I30">
        <v>0</v>
      </c>
      <c r="J30">
        <v>0</v>
      </c>
      <c r="K30">
        <v>0</v>
      </c>
      <c r="L30">
        <v>0</v>
      </c>
      <c r="M30">
        <v>0</v>
      </c>
      <c r="N30">
        <v>0</v>
      </c>
    </row>
    <row r="31" spans="1:14" ht="15" customHeight="1" x14ac:dyDescent="0.25">
      <c r="A31">
        <v>128</v>
      </c>
      <c r="B31" t="s">
        <v>102</v>
      </c>
      <c r="C31" s="15" t="s">
        <v>96</v>
      </c>
      <c r="I31">
        <v>0</v>
      </c>
      <c r="J31">
        <v>0</v>
      </c>
      <c r="K31">
        <v>0</v>
      </c>
      <c r="L31">
        <v>0</v>
      </c>
      <c r="M31">
        <v>0</v>
      </c>
      <c r="N31">
        <v>0</v>
      </c>
    </row>
    <row r="32" spans="1:14" ht="15" customHeight="1" x14ac:dyDescent="0.25">
      <c r="A32">
        <v>129</v>
      </c>
      <c r="B32" t="s">
        <v>165</v>
      </c>
      <c r="C32" s="15" t="s">
        <v>96</v>
      </c>
      <c r="I32">
        <v>0</v>
      </c>
      <c r="J32">
        <v>0</v>
      </c>
      <c r="K32">
        <v>0</v>
      </c>
      <c r="L32">
        <v>0</v>
      </c>
      <c r="M32">
        <v>0</v>
      </c>
      <c r="N32">
        <v>0</v>
      </c>
    </row>
    <row r="33" spans="1:14" ht="15" customHeight="1" x14ac:dyDescent="0.25">
      <c r="A33">
        <v>130</v>
      </c>
      <c r="B33" t="s">
        <v>116</v>
      </c>
      <c r="C33" s="15" t="s">
        <v>96</v>
      </c>
      <c r="I33">
        <v>159927</v>
      </c>
      <c r="J33">
        <v>258465</v>
      </c>
      <c r="K33">
        <v>176606</v>
      </c>
      <c r="L33">
        <v>357300</v>
      </c>
      <c r="M33">
        <v>180099</v>
      </c>
      <c r="N33">
        <v>176680</v>
      </c>
    </row>
    <row r="34" spans="1:14" ht="15" customHeight="1" x14ac:dyDescent="0.25">
      <c r="A34">
        <v>131</v>
      </c>
      <c r="B34" t="s">
        <v>108</v>
      </c>
      <c r="C34" s="15" t="s">
        <v>96</v>
      </c>
      <c r="I34">
        <v>1254959</v>
      </c>
      <c r="J34">
        <v>1290013</v>
      </c>
      <c r="K34">
        <v>985607</v>
      </c>
      <c r="L34">
        <v>977227</v>
      </c>
      <c r="M34">
        <v>951730</v>
      </c>
      <c r="N34">
        <v>699417</v>
      </c>
    </row>
    <row r="35" spans="1:14" ht="15" customHeight="1" x14ac:dyDescent="0.25">
      <c r="A35">
        <v>132</v>
      </c>
      <c r="B35" t="s">
        <v>219</v>
      </c>
      <c r="C35" s="15" t="s">
        <v>96</v>
      </c>
      <c r="I35">
        <v>0</v>
      </c>
      <c r="J35">
        <v>0</v>
      </c>
      <c r="K35">
        <v>0</v>
      </c>
      <c r="L35">
        <v>891491</v>
      </c>
      <c r="M35">
        <v>0</v>
      </c>
      <c r="N35">
        <v>192097</v>
      </c>
    </row>
    <row r="36" spans="1:14" ht="15" customHeight="1" x14ac:dyDescent="0.25">
      <c r="A36">
        <v>133</v>
      </c>
      <c r="B36" t="s">
        <v>31</v>
      </c>
      <c r="C36" s="15" t="s">
        <v>96</v>
      </c>
      <c r="I36">
        <v>83007</v>
      </c>
      <c r="J36">
        <v>500</v>
      </c>
      <c r="K36">
        <v>760</v>
      </c>
      <c r="L36">
        <v>0</v>
      </c>
      <c r="M36">
        <v>0</v>
      </c>
      <c r="N36">
        <v>0</v>
      </c>
    </row>
    <row r="37" spans="1:14" ht="15" customHeight="1" x14ac:dyDescent="0.25">
      <c r="A37">
        <v>134</v>
      </c>
      <c r="B37" t="s">
        <v>189</v>
      </c>
      <c r="C37" s="15" t="s">
        <v>96</v>
      </c>
      <c r="I37">
        <v>0</v>
      </c>
      <c r="J37">
        <v>0</v>
      </c>
      <c r="K37">
        <v>0</v>
      </c>
      <c r="L37">
        <v>0</v>
      </c>
      <c r="M37">
        <v>0</v>
      </c>
      <c r="N37">
        <v>0</v>
      </c>
    </row>
    <row r="38" spans="1:14" ht="15" customHeight="1" x14ac:dyDescent="0.25">
      <c r="A38">
        <v>135</v>
      </c>
      <c r="B38" t="s">
        <v>47</v>
      </c>
      <c r="C38" s="15" t="s">
        <v>96</v>
      </c>
      <c r="I38">
        <v>0</v>
      </c>
      <c r="J38">
        <v>0</v>
      </c>
      <c r="K38">
        <v>0</v>
      </c>
      <c r="L38">
        <v>0</v>
      </c>
      <c r="M38">
        <v>0</v>
      </c>
      <c r="N38">
        <v>0</v>
      </c>
    </row>
    <row r="39" spans="1:14" ht="15" customHeight="1" x14ac:dyDescent="0.25">
      <c r="A39">
        <v>136</v>
      </c>
      <c r="B39" t="s">
        <v>157</v>
      </c>
      <c r="C39" s="15" t="s">
        <v>96</v>
      </c>
      <c r="I39">
        <v>0</v>
      </c>
      <c r="J39">
        <v>0</v>
      </c>
      <c r="K39">
        <v>0</v>
      </c>
      <c r="L39">
        <v>0</v>
      </c>
      <c r="M39">
        <v>0</v>
      </c>
      <c r="N39">
        <v>0</v>
      </c>
    </row>
    <row r="40" spans="1:14" ht="15" customHeight="1" x14ac:dyDescent="0.25">
      <c r="A40">
        <v>137</v>
      </c>
      <c r="B40" t="s">
        <v>95</v>
      </c>
      <c r="C40" s="15" t="s">
        <v>96</v>
      </c>
      <c r="I40">
        <v>0</v>
      </c>
      <c r="J40">
        <v>0</v>
      </c>
      <c r="K40">
        <v>0</v>
      </c>
      <c r="L40">
        <v>0</v>
      </c>
      <c r="M40">
        <v>0</v>
      </c>
      <c r="N40">
        <v>0</v>
      </c>
    </row>
    <row r="41" spans="1:14" ht="15" customHeight="1" x14ac:dyDescent="0.25">
      <c r="A41">
        <v>138</v>
      </c>
      <c r="B41" t="s">
        <v>181</v>
      </c>
      <c r="C41" s="15" t="s">
        <v>32</v>
      </c>
      <c r="I41">
        <v>1153425</v>
      </c>
      <c r="J41">
        <v>75433</v>
      </c>
      <c r="K41">
        <v>417079</v>
      </c>
      <c r="L41">
        <v>451666</v>
      </c>
      <c r="M41">
        <v>352637</v>
      </c>
      <c r="N41">
        <v>151037</v>
      </c>
    </row>
    <row r="42" spans="1:14" ht="15" customHeight="1" x14ac:dyDescent="0.25">
      <c r="A42">
        <v>139</v>
      </c>
      <c r="B42" t="s">
        <v>215</v>
      </c>
      <c r="C42" s="15" t="s">
        <v>32</v>
      </c>
      <c r="I42">
        <v>0</v>
      </c>
      <c r="J42">
        <v>214318</v>
      </c>
      <c r="K42">
        <v>0</v>
      </c>
      <c r="L42">
        <v>0</v>
      </c>
      <c r="M42">
        <v>0</v>
      </c>
      <c r="N42">
        <v>0</v>
      </c>
    </row>
    <row r="43" spans="1:14" ht="15" customHeight="1" x14ac:dyDescent="0.25">
      <c r="A43">
        <v>140</v>
      </c>
      <c r="B43" t="s">
        <v>25</v>
      </c>
      <c r="C43" s="15" t="s">
        <v>32</v>
      </c>
      <c r="I43">
        <v>0</v>
      </c>
      <c r="J43">
        <v>0</v>
      </c>
      <c r="K43">
        <v>0</v>
      </c>
      <c r="L43">
        <v>0</v>
      </c>
      <c r="M43">
        <v>0</v>
      </c>
      <c r="N43">
        <v>0</v>
      </c>
    </row>
    <row r="44" spans="1:14" ht="15" customHeight="1" x14ac:dyDescent="0.25">
      <c r="A44">
        <v>141</v>
      </c>
      <c r="B44" t="s">
        <v>173</v>
      </c>
      <c r="C44" s="15" t="s">
        <v>32</v>
      </c>
      <c r="I44">
        <v>0</v>
      </c>
      <c r="J44">
        <v>0</v>
      </c>
      <c r="K44">
        <v>0</v>
      </c>
      <c r="L44">
        <v>0</v>
      </c>
      <c r="M44">
        <v>0</v>
      </c>
      <c r="N44">
        <v>0</v>
      </c>
    </row>
    <row r="45" spans="1:14" ht="15" customHeight="1" x14ac:dyDescent="0.25">
      <c r="A45">
        <v>142</v>
      </c>
      <c r="B45" t="s">
        <v>93</v>
      </c>
      <c r="C45" s="15" t="s">
        <v>32</v>
      </c>
      <c r="I45">
        <v>0</v>
      </c>
      <c r="J45">
        <v>0</v>
      </c>
      <c r="K45">
        <v>0</v>
      </c>
      <c r="L45">
        <v>0</v>
      </c>
      <c r="M45">
        <v>0</v>
      </c>
      <c r="N45">
        <v>0</v>
      </c>
    </row>
    <row r="46" spans="1:14" ht="15" customHeight="1" x14ac:dyDescent="0.25">
      <c r="A46">
        <v>143</v>
      </c>
      <c r="B46" t="s">
        <v>90</v>
      </c>
      <c r="C46" s="15" t="s">
        <v>32</v>
      </c>
      <c r="I46">
        <v>0</v>
      </c>
      <c r="J46">
        <v>4117</v>
      </c>
      <c r="K46">
        <v>0</v>
      </c>
      <c r="L46">
        <v>0</v>
      </c>
      <c r="M46">
        <v>0</v>
      </c>
      <c r="N46">
        <v>0</v>
      </c>
    </row>
    <row r="47" spans="1:14" ht="15" customHeight="1" x14ac:dyDescent="0.25">
      <c r="A47">
        <v>144</v>
      </c>
      <c r="B47" t="s">
        <v>18</v>
      </c>
      <c r="C47" s="15" t="s">
        <v>32</v>
      </c>
      <c r="I47">
        <v>0</v>
      </c>
      <c r="J47">
        <v>0</v>
      </c>
      <c r="K47">
        <v>0</v>
      </c>
      <c r="L47">
        <v>0</v>
      </c>
      <c r="M47">
        <v>0</v>
      </c>
      <c r="N47">
        <v>0</v>
      </c>
    </row>
    <row r="48" spans="1:14" ht="15" customHeight="1" x14ac:dyDescent="0.25">
      <c r="A48">
        <v>145</v>
      </c>
      <c r="B48" t="s">
        <v>100</v>
      </c>
      <c r="C48" s="15" t="s">
        <v>32</v>
      </c>
      <c r="I48">
        <v>0</v>
      </c>
      <c r="J48">
        <v>26200</v>
      </c>
      <c r="K48">
        <v>0</v>
      </c>
      <c r="L48">
        <v>0</v>
      </c>
      <c r="M48">
        <v>0</v>
      </c>
      <c r="N48">
        <v>0</v>
      </c>
    </row>
    <row r="49" spans="1:14" ht="15" customHeight="1" x14ac:dyDescent="0.25">
      <c r="A49">
        <v>146</v>
      </c>
      <c r="B49" t="s">
        <v>27</v>
      </c>
      <c r="C49" s="15" t="s">
        <v>32</v>
      </c>
      <c r="I49">
        <v>0</v>
      </c>
      <c r="J49">
        <v>0</v>
      </c>
      <c r="K49">
        <v>0</v>
      </c>
      <c r="L49">
        <v>0</v>
      </c>
      <c r="M49">
        <v>0</v>
      </c>
      <c r="N49">
        <v>0</v>
      </c>
    </row>
    <row r="50" spans="1:14" ht="15" customHeight="1" x14ac:dyDescent="0.25">
      <c r="A50">
        <v>147</v>
      </c>
      <c r="B50" t="s">
        <v>22</v>
      </c>
      <c r="C50" s="15" t="s">
        <v>32</v>
      </c>
      <c r="I50">
        <v>0</v>
      </c>
      <c r="J50">
        <v>0</v>
      </c>
      <c r="K50">
        <v>0</v>
      </c>
      <c r="L50">
        <v>0</v>
      </c>
      <c r="M50">
        <v>0</v>
      </c>
      <c r="N50">
        <v>0</v>
      </c>
    </row>
    <row r="51" spans="1:14" ht="15" customHeight="1" x14ac:dyDescent="0.25">
      <c r="A51">
        <v>148</v>
      </c>
      <c r="B51" t="s">
        <v>11</v>
      </c>
      <c r="C51" s="15" t="s">
        <v>32</v>
      </c>
      <c r="I51">
        <v>0</v>
      </c>
      <c r="J51">
        <v>70338</v>
      </c>
      <c r="K51">
        <v>0</v>
      </c>
      <c r="L51">
        <v>0</v>
      </c>
      <c r="M51">
        <v>0</v>
      </c>
      <c r="N51">
        <v>0</v>
      </c>
    </row>
    <row r="52" spans="1:14" ht="15" customHeight="1" x14ac:dyDescent="0.25">
      <c r="A52">
        <v>149</v>
      </c>
      <c r="B52" t="s">
        <v>194</v>
      </c>
      <c r="C52" s="15" t="s">
        <v>115</v>
      </c>
      <c r="I52">
        <v>1332813</v>
      </c>
      <c r="J52">
        <v>860402</v>
      </c>
      <c r="K52">
        <v>773488</v>
      </c>
      <c r="L52">
        <v>824532</v>
      </c>
      <c r="M52">
        <v>866063</v>
      </c>
      <c r="N52">
        <v>1044808</v>
      </c>
    </row>
    <row r="53" spans="1:14" ht="15" customHeight="1" x14ac:dyDescent="0.25">
      <c r="A53">
        <v>150</v>
      </c>
      <c r="B53" t="s">
        <v>14</v>
      </c>
      <c r="C53" s="15" t="s">
        <v>115</v>
      </c>
      <c r="I53">
        <v>1449</v>
      </c>
      <c r="J53">
        <v>110301</v>
      </c>
      <c r="K53">
        <v>269570</v>
      </c>
      <c r="L53">
        <v>273106</v>
      </c>
      <c r="M53">
        <v>91144</v>
      </c>
      <c r="N53">
        <v>162171</v>
      </c>
    </row>
    <row r="54" spans="1:14" ht="15" customHeight="1" x14ac:dyDescent="0.25">
      <c r="A54">
        <v>151</v>
      </c>
      <c r="B54" t="s">
        <v>119</v>
      </c>
      <c r="C54" s="15" t="s">
        <v>180</v>
      </c>
      <c r="I54">
        <v>0</v>
      </c>
      <c r="J54">
        <v>37356</v>
      </c>
      <c r="K54">
        <v>40385</v>
      </c>
      <c r="L54">
        <v>49327</v>
      </c>
      <c r="M54">
        <v>46052</v>
      </c>
      <c r="N54">
        <v>3829</v>
      </c>
    </row>
    <row r="55" spans="1:14" ht="15" customHeight="1" x14ac:dyDescent="0.25">
      <c r="A55">
        <v>152</v>
      </c>
      <c r="B55" t="s">
        <v>213</v>
      </c>
      <c r="C55" s="15" t="s">
        <v>180</v>
      </c>
      <c r="I55">
        <v>0</v>
      </c>
      <c r="J55">
        <v>0</v>
      </c>
      <c r="K55">
        <v>0</v>
      </c>
      <c r="L55">
        <v>63227</v>
      </c>
      <c r="M55">
        <v>0</v>
      </c>
      <c r="N55">
        <v>0</v>
      </c>
    </row>
    <row r="56" spans="1:14" ht="15" customHeight="1" x14ac:dyDescent="0.25">
      <c r="A56">
        <v>153</v>
      </c>
      <c r="B56" t="s">
        <v>54</v>
      </c>
      <c r="C56" s="15" t="s">
        <v>180</v>
      </c>
      <c r="I56">
        <v>0</v>
      </c>
      <c r="J56">
        <v>461505</v>
      </c>
      <c r="K56">
        <v>341738</v>
      </c>
      <c r="L56">
        <v>289267</v>
      </c>
      <c r="M56">
        <v>197129</v>
      </c>
      <c r="N56">
        <v>206683</v>
      </c>
    </row>
    <row r="57" spans="1:14" ht="15" customHeight="1" x14ac:dyDescent="0.25">
      <c r="A57">
        <v>154</v>
      </c>
      <c r="B57" t="s">
        <v>79</v>
      </c>
      <c r="C57" s="15" t="s">
        <v>180</v>
      </c>
      <c r="I57">
        <v>859756</v>
      </c>
      <c r="J57">
        <v>58593</v>
      </c>
      <c r="K57">
        <v>396868</v>
      </c>
      <c r="L57">
        <v>321637</v>
      </c>
      <c r="M57">
        <v>139851</v>
      </c>
      <c r="N57">
        <v>195506</v>
      </c>
    </row>
    <row r="58" spans="1:14" ht="15" customHeight="1" x14ac:dyDescent="0.25">
      <c r="A58">
        <v>155</v>
      </c>
      <c r="B58" t="s">
        <v>204</v>
      </c>
      <c r="C58" s="15" t="s">
        <v>180</v>
      </c>
      <c r="I58">
        <v>0</v>
      </c>
      <c r="J58">
        <v>0</v>
      </c>
      <c r="K58">
        <v>0</v>
      </c>
      <c r="L58">
        <v>0</v>
      </c>
      <c r="M58">
        <v>0</v>
      </c>
      <c r="N58">
        <v>0</v>
      </c>
    </row>
    <row r="59" spans="1:14" ht="15" customHeight="1" x14ac:dyDescent="0.25">
      <c r="A59">
        <v>156</v>
      </c>
      <c r="B59" t="s">
        <v>169</v>
      </c>
      <c r="C59" s="15" t="s">
        <v>180</v>
      </c>
      <c r="I59">
        <v>0</v>
      </c>
      <c r="J59">
        <v>0</v>
      </c>
      <c r="K59">
        <v>0</v>
      </c>
      <c r="L59">
        <v>2137993</v>
      </c>
      <c r="M59">
        <v>277766</v>
      </c>
      <c r="N59">
        <v>2245</v>
      </c>
    </row>
    <row r="60" spans="1:14" ht="15" customHeight="1" x14ac:dyDescent="0.25">
      <c r="A60">
        <v>157</v>
      </c>
      <c r="B60" t="s">
        <v>127</v>
      </c>
      <c r="C60" s="15" t="s">
        <v>180</v>
      </c>
      <c r="I60">
        <v>1962345</v>
      </c>
      <c r="J60">
        <v>3138995</v>
      </c>
      <c r="K60">
        <v>3218458</v>
      </c>
      <c r="L60">
        <v>1465421</v>
      </c>
      <c r="M60">
        <v>3125203</v>
      </c>
      <c r="N60">
        <v>3625207</v>
      </c>
    </row>
    <row r="61" spans="1:14" ht="15" customHeight="1" x14ac:dyDescent="0.25">
      <c r="A61">
        <v>158</v>
      </c>
      <c r="B61" t="s">
        <v>146</v>
      </c>
      <c r="C61" s="15" t="s">
        <v>180</v>
      </c>
      <c r="I61">
        <v>0</v>
      </c>
      <c r="J61">
        <v>0</v>
      </c>
      <c r="K61">
        <v>269091</v>
      </c>
      <c r="L61">
        <v>305409</v>
      </c>
      <c r="M61">
        <v>345838</v>
      </c>
      <c r="N61">
        <v>353522</v>
      </c>
    </row>
    <row r="62" spans="1:14" ht="15" customHeight="1" x14ac:dyDescent="0.25">
      <c r="A62">
        <v>159</v>
      </c>
      <c r="B62" t="s">
        <v>148</v>
      </c>
      <c r="C62" s="15" t="s">
        <v>180</v>
      </c>
      <c r="I62">
        <v>0</v>
      </c>
      <c r="J62">
        <v>0</v>
      </c>
      <c r="K62">
        <v>0</v>
      </c>
      <c r="L62">
        <v>0</v>
      </c>
      <c r="M62">
        <v>0</v>
      </c>
      <c r="N62">
        <v>0</v>
      </c>
    </row>
    <row r="63" spans="1:14" ht="15" customHeight="1" x14ac:dyDescent="0.25">
      <c r="A63">
        <v>160</v>
      </c>
      <c r="B63" t="s">
        <v>191</v>
      </c>
      <c r="C63" s="15" t="s">
        <v>180</v>
      </c>
      <c r="I63">
        <v>259452</v>
      </c>
      <c r="J63">
        <v>678145</v>
      </c>
      <c r="K63">
        <v>117834</v>
      </c>
      <c r="L63">
        <v>3009</v>
      </c>
      <c r="M63">
        <v>215166</v>
      </c>
      <c r="N63">
        <v>731</v>
      </c>
    </row>
    <row r="64" spans="1:14" ht="15" customHeight="1" x14ac:dyDescent="0.25">
      <c r="A64">
        <v>161</v>
      </c>
      <c r="B64" t="s">
        <v>120</v>
      </c>
      <c r="C64" s="15" t="s">
        <v>115</v>
      </c>
      <c r="I64">
        <v>96381</v>
      </c>
      <c r="J64">
        <v>93385</v>
      </c>
      <c r="K64">
        <v>85825</v>
      </c>
      <c r="L64">
        <v>98761</v>
      </c>
      <c r="M64">
        <v>84049</v>
      </c>
      <c r="N64">
        <v>86520</v>
      </c>
    </row>
    <row r="65" spans="1:14" ht="15" customHeight="1" x14ac:dyDescent="0.25">
      <c r="A65">
        <v>162</v>
      </c>
      <c r="B65" t="s">
        <v>185</v>
      </c>
      <c r="C65" s="15" t="s">
        <v>187</v>
      </c>
      <c r="I65">
        <v>152330</v>
      </c>
      <c r="J65">
        <v>561976</v>
      </c>
      <c r="K65">
        <v>556964</v>
      </c>
      <c r="L65">
        <v>340951</v>
      </c>
      <c r="M65">
        <v>170309</v>
      </c>
      <c r="N65">
        <v>201918</v>
      </c>
    </row>
    <row r="66" spans="1:14" ht="15" customHeight="1" x14ac:dyDescent="0.25">
      <c r="A66">
        <v>163</v>
      </c>
      <c r="B66" t="s">
        <v>84</v>
      </c>
      <c r="C66" s="15" t="s">
        <v>187</v>
      </c>
      <c r="I66">
        <v>194837</v>
      </c>
      <c r="J66">
        <v>102265</v>
      </c>
      <c r="K66">
        <v>97965</v>
      </c>
      <c r="L66">
        <v>97859</v>
      </c>
      <c r="M66">
        <v>97393</v>
      </c>
      <c r="N66">
        <v>95278</v>
      </c>
    </row>
    <row r="67" spans="1:14" ht="15" customHeight="1" x14ac:dyDescent="0.25">
      <c r="A67">
        <v>164</v>
      </c>
      <c r="B67" t="s">
        <v>17</v>
      </c>
      <c r="C67" s="15" t="s">
        <v>32</v>
      </c>
      <c r="I67">
        <v>0</v>
      </c>
      <c r="J67">
        <v>11780</v>
      </c>
      <c r="K67">
        <v>3280</v>
      </c>
      <c r="L67">
        <v>21502</v>
      </c>
      <c r="M67">
        <v>0</v>
      </c>
      <c r="N67">
        <v>4482</v>
      </c>
    </row>
    <row r="68" spans="1:14" ht="15" customHeight="1" x14ac:dyDescent="0.25">
      <c r="A68">
        <v>165</v>
      </c>
      <c r="B68" t="s">
        <v>30</v>
      </c>
      <c r="C68" s="15" t="s">
        <v>32</v>
      </c>
      <c r="I68">
        <v>324141</v>
      </c>
      <c r="J68">
        <v>0</v>
      </c>
      <c r="K68">
        <v>0</v>
      </c>
      <c r="L68">
        <v>0</v>
      </c>
      <c r="M68">
        <v>0</v>
      </c>
      <c r="N68">
        <v>0</v>
      </c>
    </row>
    <row r="69" spans="1:14" ht="15" customHeight="1" x14ac:dyDescent="0.25">
      <c r="A69">
        <v>166</v>
      </c>
      <c r="B69" t="s">
        <v>176</v>
      </c>
      <c r="C69" s="15" t="s">
        <v>32</v>
      </c>
      <c r="I69">
        <v>0</v>
      </c>
      <c r="J69">
        <v>0</v>
      </c>
      <c r="K69">
        <v>0</v>
      </c>
      <c r="L69">
        <v>0</v>
      </c>
      <c r="M69">
        <v>0</v>
      </c>
      <c r="N69">
        <v>0</v>
      </c>
    </row>
    <row r="70" spans="1:14" ht="15" customHeight="1" x14ac:dyDescent="0.25">
      <c r="A70">
        <v>167</v>
      </c>
      <c r="B70" t="s">
        <v>168</v>
      </c>
      <c r="C70" s="15" t="s">
        <v>32</v>
      </c>
      <c r="I70">
        <v>678299</v>
      </c>
      <c r="J70">
        <v>0</v>
      </c>
      <c r="K70">
        <v>860354</v>
      </c>
      <c r="L70">
        <v>905387</v>
      </c>
      <c r="M70">
        <v>811892</v>
      </c>
      <c r="N70">
        <v>778062</v>
      </c>
    </row>
    <row r="71" spans="1:14" ht="15" customHeight="1" x14ac:dyDescent="0.25">
      <c r="A71">
        <v>168</v>
      </c>
      <c r="B71" t="s">
        <v>77</v>
      </c>
      <c r="C71" s="15" t="s">
        <v>180</v>
      </c>
      <c r="I71">
        <v>257064</v>
      </c>
      <c r="J71">
        <v>0</v>
      </c>
      <c r="K71">
        <v>0</v>
      </c>
      <c r="L71">
        <v>0</v>
      </c>
      <c r="M71">
        <v>0</v>
      </c>
      <c r="N71">
        <v>0</v>
      </c>
    </row>
    <row r="72" spans="1:14" ht="15" customHeight="1" x14ac:dyDescent="0.25">
      <c r="A72">
        <v>169</v>
      </c>
      <c r="B72" t="s">
        <v>128</v>
      </c>
      <c r="C72" s="15" t="s">
        <v>32</v>
      </c>
      <c r="I72">
        <v>157684</v>
      </c>
      <c r="J72">
        <v>0</v>
      </c>
      <c r="K72">
        <v>466989</v>
      </c>
      <c r="L72">
        <v>416245</v>
      </c>
      <c r="M72">
        <v>669996</v>
      </c>
      <c r="N72">
        <v>339289</v>
      </c>
    </row>
    <row r="73" spans="1:14" ht="15" customHeight="1" x14ac:dyDescent="0.25">
      <c r="A73">
        <v>170</v>
      </c>
      <c r="B73" t="s">
        <v>86</v>
      </c>
      <c r="C73" s="15" t="s">
        <v>32</v>
      </c>
      <c r="I73">
        <v>0</v>
      </c>
      <c r="J73">
        <v>10661444</v>
      </c>
      <c r="K73">
        <v>0</v>
      </c>
      <c r="L73">
        <v>0</v>
      </c>
      <c r="M73">
        <v>0</v>
      </c>
      <c r="N73">
        <v>0</v>
      </c>
    </row>
    <row r="74" spans="1:14" ht="15" customHeight="1" x14ac:dyDescent="0.25">
      <c r="A74">
        <v>171</v>
      </c>
      <c r="B74" t="s">
        <v>37</v>
      </c>
      <c r="C74" s="15" t="s">
        <v>32</v>
      </c>
      <c r="I74">
        <v>0</v>
      </c>
      <c r="J74">
        <v>0</v>
      </c>
      <c r="K74">
        <v>0</v>
      </c>
      <c r="L74">
        <v>0</v>
      </c>
      <c r="M74">
        <v>0</v>
      </c>
      <c r="N74">
        <v>0</v>
      </c>
    </row>
    <row r="75" spans="1:14" ht="15" customHeight="1" x14ac:dyDescent="0.25">
      <c r="A75">
        <v>172</v>
      </c>
      <c r="B75" t="s">
        <v>149</v>
      </c>
      <c r="C75" s="15" t="s">
        <v>32</v>
      </c>
      <c r="I75">
        <v>6616438</v>
      </c>
      <c r="J75">
        <v>5388522</v>
      </c>
      <c r="K75">
        <v>6616894</v>
      </c>
      <c r="L75">
        <v>5592612</v>
      </c>
      <c r="M75">
        <v>5698931</v>
      </c>
      <c r="N75">
        <v>4898262</v>
      </c>
    </row>
    <row r="76" spans="1:14" ht="15" customHeight="1" x14ac:dyDescent="0.25">
      <c r="A76">
        <v>173</v>
      </c>
      <c r="B76" s="3" t="s">
        <v>172</v>
      </c>
      <c r="C76" s="3"/>
    </row>
    <row r="77" spans="1:14" ht="15" customHeight="1" x14ac:dyDescent="0.25">
      <c r="B77" t="s">
        <v>177</v>
      </c>
    </row>
    <row r="78" spans="1:14" ht="15" customHeight="1" x14ac:dyDescent="0.25">
      <c r="A78">
        <v>201</v>
      </c>
      <c r="B78" t="s">
        <v>113</v>
      </c>
      <c r="C78" s="15" t="s">
        <v>111</v>
      </c>
      <c r="I78">
        <v>258268</v>
      </c>
      <c r="J78">
        <v>288819</v>
      </c>
      <c r="K78">
        <v>309502</v>
      </c>
      <c r="L78">
        <v>310396</v>
      </c>
      <c r="M78">
        <v>311267</v>
      </c>
      <c r="N78">
        <v>310979</v>
      </c>
    </row>
    <row r="79" spans="1:14" ht="15" customHeight="1" x14ac:dyDescent="0.25">
      <c r="A79">
        <v>203</v>
      </c>
      <c r="B79" t="s">
        <v>216</v>
      </c>
      <c r="C79" s="15" t="s">
        <v>111</v>
      </c>
      <c r="I79">
        <v>2985414</v>
      </c>
      <c r="J79">
        <v>3279342</v>
      </c>
      <c r="K79">
        <v>3372635</v>
      </c>
      <c r="L79">
        <v>3425219</v>
      </c>
      <c r="M79">
        <v>3534602</v>
      </c>
      <c r="N79">
        <v>3509710</v>
      </c>
    </row>
    <row r="80" spans="1:14" ht="15" customHeight="1" x14ac:dyDescent="0.25">
      <c r="A80">
        <v>204</v>
      </c>
      <c r="B80" t="s">
        <v>58</v>
      </c>
      <c r="C80" s="15" t="s">
        <v>111</v>
      </c>
      <c r="I80">
        <v>99169</v>
      </c>
      <c r="J80">
        <v>239283</v>
      </c>
      <c r="K80">
        <v>189428</v>
      </c>
      <c r="L80">
        <v>220050</v>
      </c>
      <c r="M80">
        <v>216880</v>
      </c>
      <c r="N80">
        <v>224179</v>
      </c>
    </row>
    <row r="81" spans="1:14" ht="15" customHeight="1" x14ac:dyDescent="0.25">
      <c r="A81">
        <v>205</v>
      </c>
      <c r="B81" t="s">
        <v>130</v>
      </c>
      <c r="C81" s="15" t="s">
        <v>111</v>
      </c>
      <c r="I81">
        <v>313724</v>
      </c>
      <c r="J81">
        <v>350107</v>
      </c>
      <c r="K81">
        <v>344460</v>
      </c>
      <c r="L81">
        <v>351824</v>
      </c>
      <c r="M81">
        <v>379644</v>
      </c>
      <c r="N81">
        <v>481763</v>
      </c>
    </row>
    <row r="82" spans="1:14" ht="15" customHeight="1" x14ac:dyDescent="0.25">
      <c r="A82">
        <v>206</v>
      </c>
      <c r="B82" t="s">
        <v>224</v>
      </c>
      <c r="C82" s="15" t="s">
        <v>111</v>
      </c>
      <c r="I82">
        <v>354455</v>
      </c>
      <c r="J82">
        <v>425110</v>
      </c>
      <c r="K82">
        <v>487454</v>
      </c>
      <c r="L82">
        <v>542008</v>
      </c>
      <c r="M82">
        <v>570586</v>
      </c>
      <c r="N82">
        <v>581080</v>
      </c>
    </row>
    <row r="83" spans="1:14" ht="15" customHeight="1" x14ac:dyDescent="0.25">
      <c r="A83">
        <v>207</v>
      </c>
      <c r="B83" t="s">
        <v>158</v>
      </c>
      <c r="C83" s="15" t="s">
        <v>111</v>
      </c>
      <c r="I83">
        <v>215617</v>
      </c>
      <c r="J83">
        <v>260271</v>
      </c>
      <c r="K83">
        <v>275678</v>
      </c>
      <c r="L83">
        <v>259691</v>
      </c>
      <c r="M83">
        <v>267764</v>
      </c>
      <c r="N83">
        <v>276970</v>
      </c>
    </row>
    <row r="84" spans="1:14" ht="15" customHeight="1" x14ac:dyDescent="0.25">
      <c r="A84">
        <v>208</v>
      </c>
      <c r="B84" t="s">
        <v>59</v>
      </c>
      <c r="C84" s="15" t="s">
        <v>111</v>
      </c>
      <c r="I84">
        <v>83034</v>
      </c>
      <c r="J84">
        <v>93600</v>
      </c>
      <c r="K84">
        <v>97024</v>
      </c>
      <c r="L84">
        <v>134362</v>
      </c>
      <c r="M84">
        <v>111007</v>
      </c>
      <c r="N84">
        <v>107841</v>
      </c>
    </row>
    <row r="85" spans="1:14" ht="15" customHeight="1" x14ac:dyDescent="0.25">
      <c r="A85">
        <v>209</v>
      </c>
      <c r="B85" t="s">
        <v>123</v>
      </c>
      <c r="C85" s="15" t="s">
        <v>111</v>
      </c>
      <c r="I85">
        <v>146021</v>
      </c>
      <c r="J85">
        <v>138028</v>
      </c>
      <c r="K85">
        <v>217579</v>
      </c>
      <c r="L85">
        <v>259124</v>
      </c>
      <c r="M85">
        <v>233835</v>
      </c>
      <c r="N85">
        <v>241675</v>
      </c>
    </row>
    <row r="86" spans="1:14" ht="15" customHeight="1" x14ac:dyDescent="0.25">
      <c r="A86">
        <v>210</v>
      </c>
      <c r="B86" t="s">
        <v>34</v>
      </c>
      <c r="C86" s="15" t="s">
        <v>111</v>
      </c>
      <c r="I86">
        <v>0</v>
      </c>
      <c r="J86">
        <v>240</v>
      </c>
      <c r="K86">
        <v>0</v>
      </c>
      <c r="L86">
        <v>0</v>
      </c>
      <c r="M86">
        <v>0</v>
      </c>
      <c r="N86">
        <v>0</v>
      </c>
    </row>
    <row r="87" spans="1:14" ht="15" customHeight="1" x14ac:dyDescent="0.25">
      <c r="A87">
        <v>202</v>
      </c>
      <c r="B87" t="s">
        <v>89</v>
      </c>
      <c r="C87" s="15" t="s">
        <v>111</v>
      </c>
      <c r="I87">
        <v>1696111</v>
      </c>
      <c r="J87">
        <v>1919417</v>
      </c>
      <c r="K87">
        <v>2025796</v>
      </c>
      <c r="L87">
        <v>2071110</v>
      </c>
      <c r="M87">
        <v>2205649</v>
      </c>
      <c r="N87">
        <v>2045662</v>
      </c>
    </row>
    <row r="88" spans="1:14" ht="15" customHeight="1" x14ac:dyDescent="0.25">
      <c r="A88">
        <v>211</v>
      </c>
      <c r="B88" t="s">
        <v>183</v>
      </c>
      <c r="C88" s="15" t="s">
        <v>138</v>
      </c>
      <c r="I88">
        <v>2266230</v>
      </c>
      <c r="J88">
        <v>2675134</v>
      </c>
      <c r="K88">
        <v>2588145</v>
      </c>
      <c r="L88">
        <v>2604798</v>
      </c>
      <c r="M88">
        <v>5747124</v>
      </c>
      <c r="N88">
        <v>2857436</v>
      </c>
    </row>
    <row r="89" spans="1:14" ht="15" customHeight="1" x14ac:dyDescent="0.25">
      <c r="A89">
        <v>212</v>
      </c>
      <c r="B89" t="s">
        <v>141</v>
      </c>
      <c r="C89" s="15" t="s">
        <v>138</v>
      </c>
      <c r="I89">
        <v>0</v>
      </c>
      <c r="J89">
        <v>0</v>
      </c>
      <c r="K89">
        <v>0</v>
      </c>
      <c r="L89">
        <v>0</v>
      </c>
      <c r="M89">
        <v>0</v>
      </c>
      <c r="N89">
        <v>0</v>
      </c>
    </row>
    <row r="90" spans="1:14" ht="15" customHeight="1" x14ac:dyDescent="0.25">
      <c r="A90">
        <v>213</v>
      </c>
      <c r="B90" t="s">
        <v>103</v>
      </c>
      <c r="C90" s="15" t="s">
        <v>138</v>
      </c>
      <c r="I90">
        <v>0</v>
      </c>
      <c r="J90">
        <v>0</v>
      </c>
      <c r="K90">
        <v>0</v>
      </c>
      <c r="L90">
        <v>0</v>
      </c>
      <c r="M90">
        <v>0</v>
      </c>
      <c r="N90">
        <v>0</v>
      </c>
    </row>
    <row r="91" spans="1:14" ht="15" customHeight="1" x14ac:dyDescent="0.25">
      <c r="A91">
        <v>214</v>
      </c>
      <c r="B91" t="s">
        <v>205</v>
      </c>
      <c r="C91" s="15" t="s">
        <v>138</v>
      </c>
      <c r="I91">
        <v>0</v>
      </c>
      <c r="J91">
        <v>0</v>
      </c>
      <c r="K91">
        <v>0</v>
      </c>
      <c r="L91">
        <v>0</v>
      </c>
      <c r="M91">
        <v>0</v>
      </c>
      <c r="N91">
        <v>0</v>
      </c>
    </row>
    <row r="92" spans="1:14" ht="15" customHeight="1" x14ac:dyDescent="0.25">
      <c r="A92">
        <v>215</v>
      </c>
      <c r="B92" t="s">
        <v>139</v>
      </c>
      <c r="C92" s="15" t="s">
        <v>138</v>
      </c>
      <c r="I92">
        <v>3051272</v>
      </c>
      <c r="J92">
        <v>274390</v>
      </c>
      <c r="K92">
        <v>3224030</v>
      </c>
      <c r="L92">
        <v>3359013</v>
      </c>
      <c r="M92">
        <v>291775</v>
      </c>
      <c r="N92">
        <v>3511666</v>
      </c>
    </row>
    <row r="93" spans="1:14" ht="15" customHeight="1" x14ac:dyDescent="0.25">
      <c r="A93">
        <v>216</v>
      </c>
      <c r="B93" t="s">
        <v>109</v>
      </c>
      <c r="C93" s="15" t="s">
        <v>166</v>
      </c>
      <c r="I93">
        <v>428497</v>
      </c>
      <c r="J93">
        <v>501410</v>
      </c>
      <c r="K93">
        <v>414570</v>
      </c>
      <c r="L93">
        <v>335340</v>
      </c>
      <c r="M93">
        <v>244421</v>
      </c>
      <c r="N93">
        <v>251503</v>
      </c>
    </row>
    <row r="94" spans="1:14" ht="15" customHeight="1" x14ac:dyDescent="0.25">
      <c r="A94">
        <v>217</v>
      </c>
      <c r="B94" t="s">
        <v>166</v>
      </c>
      <c r="C94" s="15" t="s">
        <v>166</v>
      </c>
      <c r="I94">
        <v>393872</v>
      </c>
      <c r="J94">
        <v>299271</v>
      </c>
      <c r="K94">
        <v>311332</v>
      </c>
      <c r="L94">
        <v>298862</v>
      </c>
      <c r="M94">
        <v>388608</v>
      </c>
      <c r="N94">
        <v>465204</v>
      </c>
    </row>
    <row r="95" spans="1:14" ht="15" customHeight="1" x14ac:dyDescent="0.25">
      <c r="A95">
        <v>218</v>
      </c>
      <c r="B95" t="s">
        <v>2</v>
      </c>
      <c r="C95" s="15" t="s">
        <v>39</v>
      </c>
      <c r="I95">
        <v>169830</v>
      </c>
      <c r="J95">
        <v>150476</v>
      </c>
      <c r="K95">
        <v>195643</v>
      </c>
      <c r="L95">
        <v>35902</v>
      </c>
      <c r="M95">
        <v>30219</v>
      </c>
      <c r="N95">
        <v>39670</v>
      </c>
    </row>
    <row r="96" spans="1:14" ht="15" customHeight="1" x14ac:dyDescent="0.25">
      <c r="A96">
        <v>219</v>
      </c>
      <c r="B96" t="s">
        <v>135</v>
      </c>
      <c r="C96" s="15" t="s">
        <v>211</v>
      </c>
      <c r="I96">
        <v>0</v>
      </c>
      <c r="J96">
        <v>0</v>
      </c>
      <c r="K96">
        <v>0</v>
      </c>
      <c r="L96">
        <v>0</v>
      </c>
      <c r="M96">
        <v>0</v>
      </c>
      <c r="N96">
        <v>0</v>
      </c>
    </row>
    <row r="97" spans="1:14" ht="15" customHeight="1" x14ac:dyDescent="0.25">
      <c r="A97">
        <v>220</v>
      </c>
      <c r="B97" t="s">
        <v>142</v>
      </c>
      <c r="C97" s="15" t="s">
        <v>39</v>
      </c>
      <c r="I97">
        <v>5694</v>
      </c>
      <c r="J97">
        <v>0</v>
      </c>
      <c r="K97">
        <v>0</v>
      </c>
      <c r="L97">
        <v>0</v>
      </c>
      <c r="M97">
        <v>0</v>
      </c>
      <c r="N97">
        <v>0</v>
      </c>
    </row>
    <row r="98" spans="1:14" ht="15" customHeight="1" x14ac:dyDescent="0.25">
      <c r="A98">
        <v>221</v>
      </c>
      <c r="B98" t="s">
        <v>190</v>
      </c>
      <c r="C98" s="15" t="s">
        <v>39</v>
      </c>
      <c r="I98">
        <v>0</v>
      </c>
      <c r="J98">
        <v>0</v>
      </c>
      <c r="K98">
        <v>0</v>
      </c>
      <c r="L98">
        <v>0</v>
      </c>
      <c r="M98">
        <v>0</v>
      </c>
      <c r="N98">
        <v>0</v>
      </c>
    </row>
    <row r="99" spans="1:14" ht="15" customHeight="1" x14ac:dyDescent="0.25">
      <c r="A99">
        <v>222</v>
      </c>
      <c r="B99" t="s">
        <v>202</v>
      </c>
      <c r="C99" s="15" t="s">
        <v>39</v>
      </c>
      <c r="I99">
        <v>0</v>
      </c>
      <c r="J99">
        <v>0</v>
      </c>
      <c r="K99">
        <v>0</v>
      </c>
      <c r="L99">
        <v>0</v>
      </c>
      <c r="M99">
        <v>0</v>
      </c>
      <c r="N99">
        <v>0</v>
      </c>
    </row>
    <row r="100" spans="1:14" ht="15" customHeight="1" x14ac:dyDescent="0.25">
      <c r="A100">
        <v>223</v>
      </c>
      <c r="B100" t="s">
        <v>38</v>
      </c>
      <c r="C100" s="15" t="s">
        <v>39</v>
      </c>
      <c r="I100">
        <v>0</v>
      </c>
      <c r="J100">
        <v>0</v>
      </c>
      <c r="K100">
        <v>0</v>
      </c>
      <c r="L100">
        <v>0</v>
      </c>
      <c r="M100">
        <v>0</v>
      </c>
      <c r="N100">
        <v>0</v>
      </c>
    </row>
    <row r="101" spans="1:14" ht="15" customHeight="1" x14ac:dyDescent="0.25">
      <c r="A101">
        <v>224</v>
      </c>
      <c r="B101" t="s">
        <v>20</v>
      </c>
      <c r="C101" s="15" t="s">
        <v>39</v>
      </c>
      <c r="I101">
        <v>0</v>
      </c>
      <c r="J101">
        <v>0</v>
      </c>
      <c r="K101">
        <v>0</v>
      </c>
      <c r="L101">
        <v>0</v>
      </c>
      <c r="M101">
        <v>0</v>
      </c>
      <c r="N101">
        <v>0</v>
      </c>
    </row>
    <row r="102" spans="1:14" ht="15" customHeight="1" x14ac:dyDescent="0.25">
      <c r="A102">
        <v>225</v>
      </c>
      <c r="B102" t="s">
        <v>190</v>
      </c>
      <c r="C102" s="15" t="s">
        <v>39</v>
      </c>
      <c r="I102">
        <v>0</v>
      </c>
      <c r="J102">
        <v>0</v>
      </c>
      <c r="K102">
        <v>0</v>
      </c>
      <c r="L102">
        <v>0</v>
      </c>
      <c r="M102">
        <v>0</v>
      </c>
      <c r="N102">
        <v>0</v>
      </c>
    </row>
    <row r="103" spans="1:14" ht="15" customHeight="1" x14ac:dyDescent="0.25">
      <c r="A103">
        <v>226</v>
      </c>
      <c r="B103" t="s">
        <v>39</v>
      </c>
      <c r="C103" s="15" t="s">
        <v>39</v>
      </c>
      <c r="I103">
        <v>0</v>
      </c>
      <c r="J103">
        <v>0</v>
      </c>
      <c r="K103">
        <v>0</v>
      </c>
      <c r="L103">
        <v>0</v>
      </c>
      <c r="M103">
        <v>0</v>
      </c>
      <c r="N103">
        <v>0</v>
      </c>
    </row>
    <row r="104" spans="1:14" ht="15" customHeight="1" x14ac:dyDescent="0.25">
      <c r="A104">
        <v>227</v>
      </c>
      <c r="B104" t="s">
        <v>51</v>
      </c>
      <c r="C104" s="15" t="s">
        <v>5</v>
      </c>
      <c r="I104">
        <v>421866</v>
      </c>
      <c r="J104">
        <v>308245</v>
      </c>
      <c r="K104">
        <v>308771</v>
      </c>
      <c r="L104">
        <v>312544</v>
      </c>
      <c r="M104">
        <v>314788</v>
      </c>
      <c r="N104">
        <v>317383</v>
      </c>
    </row>
    <row r="105" spans="1:14" ht="15" customHeight="1" x14ac:dyDescent="0.25">
      <c r="A105">
        <v>228</v>
      </c>
      <c r="B105" t="s">
        <v>218</v>
      </c>
      <c r="C105" s="15" t="s">
        <v>5</v>
      </c>
      <c r="I105">
        <v>99321</v>
      </c>
      <c r="J105">
        <v>3044007</v>
      </c>
      <c r="K105">
        <v>75074</v>
      </c>
      <c r="L105">
        <v>83987</v>
      </c>
      <c r="M105">
        <v>130593</v>
      </c>
      <c r="N105">
        <v>100306</v>
      </c>
    </row>
    <row r="106" spans="1:14" ht="15" customHeight="1" x14ac:dyDescent="0.25">
      <c r="A106">
        <v>229</v>
      </c>
      <c r="B106" t="s">
        <v>66</v>
      </c>
      <c r="C106" s="15" t="s">
        <v>5</v>
      </c>
      <c r="I106">
        <v>0</v>
      </c>
      <c r="J106">
        <v>0</v>
      </c>
      <c r="K106">
        <v>0</v>
      </c>
      <c r="L106">
        <v>0</v>
      </c>
      <c r="M106">
        <v>0</v>
      </c>
      <c r="N106">
        <v>0</v>
      </c>
    </row>
    <row r="107" spans="1:14" ht="15" customHeight="1" x14ac:dyDescent="0.25">
      <c r="A107">
        <v>230</v>
      </c>
      <c r="B107" t="s">
        <v>4</v>
      </c>
      <c r="C107" s="15" t="s">
        <v>5</v>
      </c>
      <c r="I107">
        <v>72246</v>
      </c>
      <c r="J107">
        <v>88236</v>
      </c>
      <c r="K107">
        <v>72279</v>
      </c>
      <c r="L107">
        <v>73217</v>
      </c>
      <c r="M107">
        <v>65044</v>
      </c>
      <c r="N107">
        <v>84341</v>
      </c>
    </row>
    <row r="108" spans="1:14" ht="15" customHeight="1" x14ac:dyDescent="0.25">
      <c r="A108">
        <v>231</v>
      </c>
      <c r="B108" t="s">
        <v>114</v>
      </c>
      <c r="C108" s="15" t="s">
        <v>5</v>
      </c>
      <c r="I108">
        <v>220000</v>
      </c>
      <c r="J108">
        <v>232755</v>
      </c>
      <c r="K108">
        <v>220009</v>
      </c>
      <c r="L108">
        <v>235743</v>
      </c>
      <c r="M108">
        <v>253980</v>
      </c>
      <c r="N108">
        <v>248166</v>
      </c>
    </row>
    <row r="109" spans="1:14" ht="15" customHeight="1" x14ac:dyDescent="0.25">
      <c r="A109">
        <v>232</v>
      </c>
      <c r="B109" t="s">
        <v>228</v>
      </c>
      <c r="C109" s="15" t="s">
        <v>5</v>
      </c>
      <c r="I109">
        <v>0</v>
      </c>
      <c r="J109">
        <v>0</v>
      </c>
      <c r="K109">
        <v>0</v>
      </c>
      <c r="L109">
        <v>0</v>
      </c>
      <c r="M109">
        <v>0</v>
      </c>
      <c r="N109">
        <v>0</v>
      </c>
    </row>
    <row r="110" spans="1:14" ht="15" customHeight="1" x14ac:dyDescent="0.25">
      <c r="A110">
        <v>233</v>
      </c>
      <c r="B110" t="s">
        <v>13</v>
      </c>
      <c r="C110" s="15" t="s">
        <v>5</v>
      </c>
      <c r="I110">
        <v>1152383</v>
      </c>
      <c r="J110">
        <v>0</v>
      </c>
      <c r="K110">
        <v>1501849</v>
      </c>
      <c r="L110">
        <v>1925275</v>
      </c>
      <c r="M110">
        <v>1377922</v>
      </c>
      <c r="N110">
        <v>1053992</v>
      </c>
    </row>
    <row r="111" spans="1:14" ht="15" customHeight="1" x14ac:dyDescent="0.25">
      <c r="A111">
        <v>234</v>
      </c>
      <c r="B111" t="s">
        <v>55</v>
      </c>
      <c r="C111" s="15" t="s">
        <v>5</v>
      </c>
      <c r="I111">
        <v>780216</v>
      </c>
      <c r="J111">
        <v>785779</v>
      </c>
      <c r="K111">
        <v>675152</v>
      </c>
      <c r="L111">
        <v>736158</v>
      </c>
      <c r="M111">
        <v>809875</v>
      </c>
      <c r="N111">
        <v>736284</v>
      </c>
    </row>
    <row r="112" spans="1:14" ht="15" customHeight="1" x14ac:dyDescent="0.25">
      <c r="A112">
        <v>235</v>
      </c>
      <c r="B112" t="s">
        <v>227</v>
      </c>
      <c r="C112" s="15" t="s">
        <v>5</v>
      </c>
      <c r="I112">
        <v>1177442</v>
      </c>
      <c r="J112">
        <v>619927</v>
      </c>
      <c r="K112">
        <v>1624963</v>
      </c>
      <c r="L112">
        <v>1750305</v>
      </c>
      <c r="M112">
        <v>1373141</v>
      </c>
      <c r="N112">
        <v>1393006</v>
      </c>
    </row>
    <row r="113" spans="1:14" ht="15" customHeight="1" x14ac:dyDescent="0.25">
      <c r="A113">
        <v>236</v>
      </c>
      <c r="B113" t="s">
        <v>170</v>
      </c>
      <c r="C113" s="15" t="s">
        <v>5</v>
      </c>
      <c r="I113">
        <v>85568</v>
      </c>
      <c r="J113">
        <v>341812</v>
      </c>
      <c r="K113">
        <v>153994</v>
      </c>
      <c r="L113">
        <v>203834</v>
      </c>
      <c r="M113">
        <v>0</v>
      </c>
      <c r="N113">
        <v>193913</v>
      </c>
    </row>
    <row r="114" spans="1:14" ht="15" customHeight="1" x14ac:dyDescent="0.25">
      <c r="A114">
        <v>237</v>
      </c>
      <c r="B114" t="s">
        <v>36</v>
      </c>
      <c r="C114" s="15" t="s">
        <v>5</v>
      </c>
      <c r="I114">
        <v>184671</v>
      </c>
      <c r="J114">
        <v>635027</v>
      </c>
      <c r="K114">
        <v>1242</v>
      </c>
      <c r="L114">
        <v>684</v>
      </c>
      <c r="M114">
        <v>437</v>
      </c>
      <c r="N114">
        <v>347058</v>
      </c>
    </row>
    <row r="115" spans="1:14" ht="15" customHeight="1" x14ac:dyDescent="0.25">
      <c r="A115">
        <v>238</v>
      </c>
      <c r="B115" t="s">
        <v>221</v>
      </c>
      <c r="C115" s="15" t="s">
        <v>201</v>
      </c>
      <c r="I115">
        <v>278644</v>
      </c>
      <c r="J115">
        <v>207226</v>
      </c>
      <c r="K115">
        <v>227756</v>
      </c>
      <c r="L115">
        <v>305744</v>
      </c>
      <c r="M115">
        <v>241332</v>
      </c>
      <c r="N115">
        <v>261879</v>
      </c>
    </row>
    <row r="116" spans="1:14" ht="15" customHeight="1" x14ac:dyDescent="0.25">
      <c r="A116">
        <v>239</v>
      </c>
      <c r="B116" t="s">
        <v>167</v>
      </c>
      <c r="C116" s="15" t="s">
        <v>201</v>
      </c>
      <c r="I116">
        <v>70425</v>
      </c>
      <c r="J116">
        <v>74538</v>
      </c>
      <c r="K116">
        <v>96264</v>
      </c>
      <c r="L116">
        <v>85599</v>
      </c>
      <c r="M116">
        <v>437477</v>
      </c>
      <c r="N116">
        <v>88251</v>
      </c>
    </row>
    <row r="117" spans="1:14" ht="15" customHeight="1" x14ac:dyDescent="0.25">
      <c r="A117">
        <v>240</v>
      </c>
      <c r="B117" t="s">
        <v>144</v>
      </c>
      <c r="C117" s="15" t="s">
        <v>201</v>
      </c>
      <c r="I117">
        <v>31800</v>
      </c>
      <c r="J117">
        <v>31800</v>
      </c>
      <c r="K117">
        <v>34000</v>
      </c>
      <c r="L117">
        <v>43000</v>
      </c>
      <c r="M117">
        <v>43000</v>
      </c>
      <c r="N117">
        <v>43000</v>
      </c>
    </row>
    <row r="118" spans="1:14" ht="15" customHeight="1" x14ac:dyDescent="0.25">
      <c r="A118">
        <v>241</v>
      </c>
      <c r="B118" t="s">
        <v>226</v>
      </c>
      <c r="C118" s="15" t="s">
        <v>201</v>
      </c>
      <c r="I118">
        <v>0</v>
      </c>
      <c r="J118">
        <v>45323</v>
      </c>
      <c r="K118">
        <v>0</v>
      </c>
      <c r="L118">
        <v>5000</v>
      </c>
      <c r="M118">
        <v>0</v>
      </c>
      <c r="N118">
        <v>0</v>
      </c>
    </row>
    <row r="119" spans="1:14" ht="15" customHeight="1" x14ac:dyDescent="0.25">
      <c r="A119">
        <v>242</v>
      </c>
      <c r="B119" t="s">
        <v>0</v>
      </c>
      <c r="C119" s="15" t="s">
        <v>147</v>
      </c>
      <c r="I119">
        <v>253244</v>
      </c>
      <c r="J119">
        <v>253040</v>
      </c>
      <c r="K119">
        <v>370014</v>
      </c>
      <c r="L119">
        <v>348903</v>
      </c>
      <c r="M119">
        <v>350980</v>
      </c>
      <c r="N119">
        <v>360601</v>
      </c>
    </row>
    <row r="120" spans="1:14" ht="15" customHeight="1" x14ac:dyDescent="0.25">
      <c r="A120">
        <v>243</v>
      </c>
      <c r="B120" t="s">
        <v>40</v>
      </c>
      <c r="C120" s="15" t="s">
        <v>147</v>
      </c>
      <c r="I120">
        <v>0</v>
      </c>
      <c r="J120">
        <v>0</v>
      </c>
      <c r="K120">
        <v>0</v>
      </c>
      <c r="L120">
        <v>0</v>
      </c>
      <c r="M120">
        <v>0</v>
      </c>
      <c r="N120">
        <v>0</v>
      </c>
    </row>
    <row r="121" spans="1:14" ht="15" customHeight="1" x14ac:dyDescent="0.25">
      <c r="A121">
        <v>244</v>
      </c>
      <c r="B121" t="s">
        <v>88</v>
      </c>
      <c r="C121" s="15" t="s">
        <v>147</v>
      </c>
      <c r="I121">
        <v>0</v>
      </c>
      <c r="J121">
        <v>0</v>
      </c>
      <c r="K121">
        <v>0</v>
      </c>
      <c r="L121">
        <v>0</v>
      </c>
      <c r="M121">
        <v>0</v>
      </c>
      <c r="N121">
        <v>0</v>
      </c>
    </row>
    <row r="122" spans="1:14" ht="15" customHeight="1" x14ac:dyDescent="0.25">
      <c r="A122">
        <v>245</v>
      </c>
      <c r="B122" t="s">
        <v>182</v>
      </c>
      <c r="C122" s="15" t="s">
        <v>10</v>
      </c>
      <c r="I122">
        <v>305382</v>
      </c>
      <c r="J122">
        <v>149073</v>
      </c>
      <c r="K122">
        <v>29835</v>
      </c>
      <c r="L122">
        <v>1875</v>
      </c>
      <c r="M122">
        <v>27254</v>
      </c>
      <c r="N122">
        <v>35197</v>
      </c>
    </row>
    <row r="123" spans="1:14" ht="15" customHeight="1" x14ac:dyDescent="0.25">
      <c r="A123">
        <v>246</v>
      </c>
      <c r="B123" t="s">
        <v>61</v>
      </c>
      <c r="C123" s="15" t="s">
        <v>61</v>
      </c>
      <c r="I123">
        <v>1370382</v>
      </c>
      <c r="J123">
        <v>6106396</v>
      </c>
      <c r="K123">
        <v>5376980</v>
      </c>
      <c r="L123">
        <v>1311234</v>
      </c>
      <c r="M123">
        <v>183683</v>
      </c>
      <c r="N123">
        <v>850577</v>
      </c>
    </row>
    <row r="124" spans="1:14" ht="15" customHeight="1" x14ac:dyDescent="0.25">
      <c r="A124">
        <v>247</v>
      </c>
      <c r="B124" t="s">
        <v>186</v>
      </c>
      <c r="C124" s="15" t="s">
        <v>186</v>
      </c>
      <c r="I124">
        <v>990445</v>
      </c>
      <c r="J124">
        <v>491776</v>
      </c>
      <c r="K124">
        <v>933031</v>
      </c>
      <c r="L124">
        <v>955287</v>
      </c>
      <c r="M124">
        <v>1000854</v>
      </c>
      <c r="N124">
        <v>0</v>
      </c>
    </row>
    <row r="125" spans="1:14" ht="15" customHeight="1" x14ac:dyDescent="0.25">
      <c r="A125">
        <v>248</v>
      </c>
      <c r="B125" t="s">
        <v>162</v>
      </c>
      <c r="C125" s="15" t="s">
        <v>26</v>
      </c>
      <c r="I125">
        <v>6379475</v>
      </c>
      <c r="J125">
        <v>5099340</v>
      </c>
      <c r="K125">
        <v>5868318</v>
      </c>
      <c r="L125">
        <v>5429566</v>
      </c>
      <c r="M125">
        <v>5472748</v>
      </c>
      <c r="N125">
        <v>5039507</v>
      </c>
    </row>
    <row r="126" spans="1:14" ht="15" customHeight="1" x14ac:dyDescent="0.25">
      <c r="A126">
        <v>249</v>
      </c>
      <c r="B126" t="s">
        <v>37</v>
      </c>
      <c r="C126" s="15" t="s">
        <v>37</v>
      </c>
      <c r="I126">
        <v>0</v>
      </c>
      <c r="J126">
        <v>0</v>
      </c>
      <c r="K126">
        <v>0</v>
      </c>
      <c r="L126">
        <v>0</v>
      </c>
      <c r="M126">
        <v>0</v>
      </c>
      <c r="N126">
        <v>0</v>
      </c>
    </row>
    <row r="127" spans="1:14" ht="15" customHeight="1" x14ac:dyDescent="0.25">
      <c r="A127">
        <v>250</v>
      </c>
      <c r="B127" s="3" t="s">
        <v>225</v>
      </c>
    </row>
    <row r="129" spans="1:14" ht="15" customHeight="1" x14ac:dyDescent="0.25">
      <c r="B129" s="9" t="s">
        <v>67</v>
      </c>
    </row>
    <row r="130" spans="1:14" ht="15" customHeight="1" x14ac:dyDescent="0.25">
      <c r="A130">
        <v>531</v>
      </c>
      <c r="B130" s="15" t="s">
        <v>152</v>
      </c>
      <c r="C130" s="15" t="s">
        <v>63</v>
      </c>
      <c r="I130">
        <v>0</v>
      </c>
      <c r="J130">
        <v>741315</v>
      </c>
      <c r="K130">
        <v>818851</v>
      </c>
      <c r="L130">
        <v>866298</v>
      </c>
      <c r="M130">
        <v>951528</v>
      </c>
      <c r="N130">
        <v>8804</v>
      </c>
    </row>
    <row r="131" spans="1:14" ht="15" customHeight="1" x14ac:dyDescent="0.25">
      <c r="A131">
        <v>532</v>
      </c>
      <c r="B131" s="15" t="s">
        <v>46</v>
      </c>
      <c r="C131" s="15" t="s">
        <v>16</v>
      </c>
      <c r="I131">
        <v>1287488</v>
      </c>
      <c r="J131">
        <v>0</v>
      </c>
      <c r="K131">
        <v>2278313</v>
      </c>
      <c r="L131">
        <v>2591665</v>
      </c>
      <c r="M131">
        <v>3341560</v>
      </c>
      <c r="N131">
        <v>5645480</v>
      </c>
    </row>
    <row r="132" spans="1:14" ht="15" customHeight="1" x14ac:dyDescent="0.25">
      <c r="A132">
        <v>533</v>
      </c>
      <c r="B132" s="15" t="s">
        <v>210</v>
      </c>
      <c r="C132" s="15" t="s">
        <v>101</v>
      </c>
      <c r="I132">
        <v>3973113</v>
      </c>
      <c r="J132">
        <v>9827155</v>
      </c>
      <c r="K132">
        <v>4806507</v>
      </c>
      <c r="L132">
        <v>4078085</v>
      </c>
      <c r="M132">
        <v>3215644</v>
      </c>
      <c r="N132">
        <v>2618717</v>
      </c>
    </row>
    <row r="133" spans="1:14" ht="15" customHeight="1" x14ac:dyDescent="0.25">
      <c r="A133">
        <v>534</v>
      </c>
      <c r="B133" s="2" t="s">
        <v>131</v>
      </c>
      <c r="C133" s="2"/>
    </row>
  </sheetData>
  <sheetProtection formatCells="0" formatColumns="0" formatRows="0" insertColumns="0" insertRows="0" insertHyperlinks="0" deleteColumns="0" deleteRows="0" sort="0" autoFilter="0" pivotTables="0"/>
  <phoneticPr fontId="23"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N39"/>
  <sheetViews>
    <sheetView topLeftCell="A7" zoomScale="90" zoomScaleNormal="90" workbookViewId="0">
      <selection activeCell="B36" sqref="B36:B37"/>
    </sheetView>
  </sheetViews>
  <sheetFormatPr defaultRowHeight="15" x14ac:dyDescent="0.25"/>
  <cols>
    <col min="1" max="1" width="29" style="53" bestFit="1" customWidth="1"/>
    <col min="2" max="2" width="14.28515625" style="147" bestFit="1" customWidth="1"/>
    <col min="3" max="3" width="35.5703125" style="53" customWidth="1"/>
    <col min="4" max="4" width="6.28515625" style="97" customWidth="1"/>
    <col min="5" max="5" width="48.5703125" style="86" customWidth="1"/>
    <col min="6" max="6" width="16.7109375" style="53" customWidth="1"/>
    <col min="7" max="7" width="11.28515625" style="53" bestFit="1" customWidth="1"/>
    <col min="8" max="8" width="12.5703125" style="54" bestFit="1" customWidth="1"/>
    <col min="9" max="9" width="10.5703125" style="53" bestFit="1" customWidth="1"/>
    <col min="10" max="13" width="9.140625" style="53"/>
    <col min="14" max="14" width="27.28515625" style="53" bestFit="1" customWidth="1"/>
    <col min="15" max="16384" width="9.140625" style="53"/>
  </cols>
  <sheetData>
    <row r="1" spans="1:14" s="92" customFormat="1" ht="15.75" thickBot="1" x14ac:dyDescent="0.3">
      <c r="A1" s="94" t="s">
        <v>291</v>
      </c>
      <c r="B1" s="146"/>
      <c r="C1" s="90"/>
      <c r="D1" s="95"/>
      <c r="E1" s="91"/>
      <c r="H1" s="93"/>
    </row>
    <row r="2" spans="1:14" x14ac:dyDescent="0.25">
      <c r="A2" s="53" t="s">
        <v>249</v>
      </c>
      <c r="B2" s="147">
        <v>1129448</v>
      </c>
      <c r="D2" s="96">
        <v>28</v>
      </c>
      <c r="E2" s="87" t="s">
        <v>292</v>
      </c>
      <c r="F2" s="78" t="s">
        <v>289</v>
      </c>
      <c r="G2" s="79"/>
      <c r="H2" s="80"/>
      <c r="I2" s="79"/>
      <c r="J2" s="79"/>
      <c r="K2" s="79"/>
      <c r="L2" s="79"/>
      <c r="M2" s="79"/>
      <c r="N2" s="81"/>
    </row>
    <row r="3" spans="1:14" ht="15.75" thickBot="1" x14ac:dyDescent="0.3">
      <c r="A3" s="53" t="s">
        <v>267</v>
      </c>
      <c r="B3" s="119">
        <v>0</v>
      </c>
      <c r="C3" s="55" t="s">
        <v>268</v>
      </c>
      <c r="D3" s="97">
        <v>28</v>
      </c>
      <c r="E3" s="87" t="s">
        <v>293</v>
      </c>
      <c r="F3" s="82" t="s">
        <v>290</v>
      </c>
      <c r="G3" s="83"/>
      <c r="H3" s="84"/>
      <c r="I3" s="83"/>
      <c r="J3" s="83"/>
      <c r="K3" s="83"/>
      <c r="L3" s="83"/>
      <c r="M3" s="83"/>
      <c r="N3" s="85"/>
    </row>
    <row r="4" spans="1:14" x14ac:dyDescent="0.25">
      <c r="A4" s="53" t="s">
        <v>269</v>
      </c>
      <c r="B4" s="120">
        <v>5547752</v>
      </c>
      <c r="C4" s="88" t="s">
        <v>250</v>
      </c>
      <c r="D4" s="96">
        <v>28</v>
      </c>
      <c r="E4" s="87" t="s">
        <v>294</v>
      </c>
      <c r="F4" s="76"/>
      <c r="G4" s="76"/>
      <c r="H4" s="77"/>
      <c r="I4" s="76"/>
      <c r="J4" s="76"/>
      <c r="K4" s="76"/>
      <c r="L4" s="76"/>
      <c r="M4" s="76"/>
      <c r="N4" s="76"/>
    </row>
    <row r="5" spans="1:14" x14ac:dyDescent="0.25">
      <c r="A5" s="53" t="s">
        <v>270</v>
      </c>
      <c r="B5" s="147">
        <v>3688656</v>
      </c>
      <c r="D5" s="98">
        <v>28</v>
      </c>
      <c r="E5" s="87" t="s">
        <v>295</v>
      </c>
    </row>
    <row r="6" spans="1:14" x14ac:dyDescent="0.25">
      <c r="B6" s="148">
        <f>SUM(B2:B5)</f>
        <v>10365856</v>
      </c>
      <c r="C6" s="53" t="s">
        <v>271</v>
      </c>
      <c r="E6" s="87" t="s">
        <v>296</v>
      </c>
    </row>
    <row r="8" spans="1:14" x14ac:dyDescent="0.25">
      <c r="A8" s="53" t="s">
        <v>249</v>
      </c>
      <c r="B8" s="264">
        <f>B2</f>
        <v>1129448</v>
      </c>
      <c r="D8" s="96">
        <v>28</v>
      </c>
      <c r="E8" s="87" t="s">
        <v>292</v>
      </c>
    </row>
    <row r="9" spans="1:14" x14ac:dyDescent="0.25">
      <c r="D9" s="96"/>
      <c r="E9" s="87"/>
    </row>
    <row r="10" spans="1:14" s="92" customFormat="1" x14ac:dyDescent="0.25">
      <c r="A10" s="92" t="s">
        <v>297</v>
      </c>
      <c r="B10" s="149"/>
      <c r="D10" s="95"/>
      <c r="E10" s="91"/>
      <c r="H10" s="93"/>
    </row>
    <row r="11" spans="1:14" ht="15.75" thickBot="1" x14ac:dyDescent="0.3">
      <c r="A11" s="57">
        <v>101</v>
      </c>
      <c r="B11" s="147">
        <v>815503</v>
      </c>
      <c r="D11" s="98">
        <v>108</v>
      </c>
      <c r="E11" s="87" t="s">
        <v>298</v>
      </c>
      <c r="F11" s="54"/>
      <c r="G11" s="54"/>
      <c r="H11" s="53"/>
    </row>
    <row r="12" spans="1:14" x14ac:dyDescent="0.25">
      <c r="A12" s="57" t="s">
        <v>272</v>
      </c>
      <c r="B12" s="119">
        <v>778772.6</v>
      </c>
      <c r="C12" s="55" t="s">
        <v>268</v>
      </c>
      <c r="D12" s="101"/>
      <c r="E12" s="293" t="s">
        <v>328</v>
      </c>
      <c r="I12" s="54"/>
    </row>
    <row r="13" spans="1:14" ht="29.25" customHeight="1" thickBot="1" x14ac:dyDescent="0.3">
      <c r="A13" s="57" t="s">
        <v>99</v>
      </c>
      <c r="B13" s="120">
        <v>36730.83</v>
      </c>
      <c r="C13" s="88" t="s">
        <v>250</v>
      </c>
      <c r="D13" s="102"/>
      <c r="E13" s="294"/>
      <c r="F13" s="262" t="s">
        <v>336</v>
      </c>
      <c r="I13" s="54"/>
    </row>
    <row r="14" spans="1:14" x14ac:dyDescent="0.25">
      <c r="A14" s="57">
        <v>2052</v>
      </c>
      <c r="B14" s="120">
        <v>313945</v>
      </c>
      <c r="C14" s="88" t="s">
        <v>250</v>
      </c>
      <c r="D14" s="98">
        <v>108</v>
      </c>
      <c r="E14" s="87" t="s">
        <v>299</v>
      </c>
    </row>
    <row r="15" spans="1:14" x14ac:dyDescent="0.25">
      <c r="A15" s="57"/>
      <c r="B15" s="148">
        <f>B12+B13+B14</f>
        <v>1129448.43</v>
      </c>
      <c r="C15" s="53" t="s">
        <v>273</v>
      </c>
      <c r="E15" s="87" t="s">
        <v>296</v>
      </c>
      <c r="F15" s="54"/>
    </row>
    <row r="16" spans="1:14" x14ac:dyDescent="0.25">
      <c r="A16" s="57"/>
      <c r="B16" s="150"/>
      <c r="E16" s="87"/>
    </row>
    <row r="17" spans="1:12" s="92" customFormat="1" x14ac:dyDescent="0.25">
      <c r="A17" s="92" t="s">
        <v>300</v>
      </c>
      <c r="B17" s="149"/>
      <c r="D17" s="95"/>
      <c r="E17" s="91"/>
      <c r="G17" s="93"/>
      <c r="H17" s="93"/>
    </row>
    <row r="18" spans="1:12" x14ac:dyDescent="0.25">
      <c r="A18" s="53" t="s">
        <v>270</v>
      </c>
      <c r="F18" s="54"/>
    </row>
    <row r="19" spans="1:12" x14ac:dyDescent="0.25">
      <c r="A19" s="58" t="s">
        <v>76</v>
      </c>
      <c r="B19" s="147">
        <v>0</v>
      </c>
      <c r="E19" s="87" t="s">
        <v>301</v>
      </c>
      <c r="F19" s="54"/>
    </row>
    <row r="20" spans="1:12" x14ac:dyDescent="0.25">
      <c r="A20" s="58" t="s">
        <v>274</v>
      </c>
      <c r="B20" s="147">
        <v>0</v>
      </c>
      <c r="I20" s="54"/>
    </row>
    <row r="21" spans="1:12" x14ac:dyDescent="0.25">
      <c r="A21" s="58" t="s">
        <v>275</v>
      </c>
      <c r="B21" s="147">
        <v>3688656</v>
      </c>
      <c r="D21" s="98">
        <v>117</v>
      </c>
      <c r="E21" s="87" t="s">
        <v>302</v>
      </c>
    </row>
    <row r="22" spans="1:12" x14ac:dyDescent="0.25">
      <c r="A22" s="58" t="s">
        <v>276</v>
      </c>
      <c r="B22" s="119">
        <v>0</v>
      </c>
      <c r="C22" s="55" t="s">
        <v>268</v>
      </c>
      <c r="D22" s="98">
        <v>122</v>
      </c>
      <c r="E22" s="87" t="s">
        <v>303</v>
      </c>
    </row>
    <row r="23" spans="1:12" x14ac:dyDescent="0.25">
      <c r="A23" s="58" t="s">
        <v>277</v>
      </c>
      <c r="B23" s="120">
        <v>343359</v>
      </c>
      <c r="C23" s="88" t="s">
        <v>250</v>
      </c>
      <c r="D23" s="98">
        <v>122</v>
      </c>
      <c r="E23" s="87" t="s">
        <v>304</v>
      </c>
    </row>
    <row r="24" spans="1:12" x14ac:dyDescent="0.25">
      <c r="A24" s="58" t="s">
        <v>278</v>
      </c>
      <c r="B24" s="120">
        <v>74747</v>
      </c>
      <c r="C24" s="88" t="s">
        <v>250</v>
      </c>
      <c r="D24" s="98">
        <v>122</v>
      </c>
      <c r="E24" s="87" t="s">
        <v>305</v>
      </c>
      <c r="L24" s="138"/>
    </row>
    <row r="25" spans="1:12" x14ac:dyDescent="0.25">
      <c r="A25" s="58" t="s">
        <v>279</v>
      </c>
      <c r="B25" s="119">
        <v>2588307</v>
      </c>
      <c r="C25" s="55" t="s">
        <v>268</v>
      </c>
      <c r="D25" s="98">
        <v>122</v>
      </c>
      <c r="E25" s="87" t="s">
        <v>306</v>
      </c>
      <c r="L25" s="138"/>
    </row>
    <row r="26" spans="1:12" x14ac:dyDescent="0.25">
      <c r="A26" s="58" t="s">
        <v>280</v>
      </c>
      <c r="B26" s="119">
        <v>195150</v>
      </c>
      <c r="C26" s="55" t="s">
        <v>268</v>
      </c>
      <c r="D26" s="98">
        <v>122</v>
      </c>
      <c r="E26" s="87" t="s">
        <v>307</v>
      </c>
    </row>
    <row r="27" spans="1:12" x14ac:dyDescent="0.25">
      <c r="A27" s="158" t="s">
        <v>330</v>
      </c>
      <c r="B27" s="119">
        <v>0</v>
      </c>
      <c r="C27" s="159" t="s">
        <v>268</v>
      </c>
      <c r="D27" s="98"/>
      <c r="E27" s="160" t="s">
        <v>293</v>
      </c>
    </row>
    <row r="28" spans="1:12" x14ac:dyDescent="0.25">
      <c r="A28" s="205" t="s">
        <v>333</v>
      </c>
      <c r="B28" s="120">
        <v>0</v>
      </c>
      <c r="C28" s="88" t="s">
        <v>250</v>
      </c>
      <c r="D28" s="98">
        <v>123</v>
      </c>
      <c r="E28" s="206" t="s">
        <v>334</v>
      </c>
    </row>
    <row r="29" spans="1:12" x14ac:dyDescent="0.25">
      <c r="A29" s="58" t="s">
        <v>281</v>
      </c>
      <c r="B29" s="120">
        <v>0</v>
      </c>
      <c r="C29" s="88" t="s">
        <v>250</v>
      </c>
      <c r="D29" s="98"/>
      <c r="E29" s="87" t="s">
        <v>308</v>
      </c>
    </row>
    <row r="30" spans="1:12" x14ac:dyDescent="0.25">
      <c r="A30" s="58" t="s">
        <v>282</v>
      </c>
      <c r="B30" s="120">
        <v>0</v>
      </c>
      <c r="C30" s="88" t="s">
        <v>250</v>
      </c>
      <c r="D30" s="98"/>
      <c r="E30" s="87" t="s">
        <v>309</v>
      </c>
    </row>
    <row r="31" spans="1:12" x14ac:dyDescent="0.25">
      <c r="A31" s="58" t="s">
        <v>283</v>
      </c>
      <c r="B31" s="120">
        <v>355654</v>
      </c>
      <c r="C31" s="88" t="s">
        <v>250</v>
      </c>
      <c r="D31" s="98">
        <v>123</v>
      </c>
      <c r="E31" s="87" t="s">
        <v>310</v>
      </c>
    </row>
    <row r="32" spans="1:12" x14ac:dyDescent="0.25">
      <c r="A32" s="58" t="s">
        <v>284</v>
      </c>
      <c r="B32" s="120">
        <v>22697</v>
      </c>
      <c r="C32" s="88" t="s">
        <v>250</v>
      </c>
      <c r="D32" s="98">
        <v>124</v>
      </c>
      <c r="E32" s="87" t="s">
        <v>311</v>
      </c>
    </row>
    <row r="33" spans="1:6" x14ac:dyDescent="0.25">
      <c r="A33" s="58" t="s">
        <v>285</v>
      </c>
      <c r="B33" s="119">
        <v>108742</v>
      </c>
      <c r="C33" s="55" t="s">
        <v>268</v>
      </c>
      <c r="D33" s="98">
        <v>125</v>
      </c>
      <c r="E33" s="87" t="s">
        <v>312</v>
      </c>
      <c r="F33" s="54"/>
    </row>
    <row r="34" spans="1:6" x14ac:dyDescent="0.25">
      <c r="B34" s="151">
        <f>SUM(B22:B33)</f>
        <v>3688656</v>
      </c>
      <c r="C34" s="56" t="s">
        <v>286</v>
      </c>
      <c r="D34" s="97">
        <v>125</v>
      </c>
      <c r="E34" s="87" t="s">
        <v>296</v>
      </c>
    </row>
    <row r="35" spans="1:6" ht="15.75" thickBot="1" x14ac:dyDescent="0.3"/>
    <row r="36" spans="1:6" ht="15.75" thickBot="1" x14ac:dyDescent="0.3">
      <c r="B36" s="152">
        <f>B3+B12+B22+B25+B26+B33+B27</f>
        <v>3670971.6</v>
      </c>
      <c r="C36" s="59" t="s">
        <v>287</v>
      </c>
      <c r="D36" s="99"/>
      <c r="E36" s="103" t="s">
        <v>315</v>
      </c>
    </row>
    <row r="37" spans="1:6" ht="15.75" thickBot="1" x14ac:dyDescent="0.3">
      <c r="B37" s="152">
        <f>B4+B13+B14+B23+B24+B28+B29+B30+B31+B32</f>
        <v>6694884.8300000001</v>
      </c>
      <c r="C37" s="89" t="s">
        <v>288</v>
      </c>
      <c r="D37" s="99"/>
      <c r="E37" s="103" t="s">
        <v>316</v>
      </c>
    </row>
    <row r="38" spans="1:6" x14ac:dyDescent="0.25">
      <c r="B38" s="153">
        <f>SUM(B36:B37)</f>
        <v>10365856.43</v>
      </c>
      <c r="C38" s="60" t="s">
        <v>271</v>
      </c>
      <c r="D38" s="100">
        <v>28</v>
      </c>
      <c r="E38" s="87" t="s">
        <v>313</v>
      </c>
    </row>
    <row r="39" spans="1:6" x14ac:dyDescent="0.25">
      <c r="E39" s="87" t="s">
        <v>314</v>
      </c>
    </row>
  </sheetData>
  <mergeCells count="1">
    <mergeCell ref="E12:E1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Data Input</vt:lpstr>
      <vt:lpstr>Rev</vt:lpstr>
      <vt:lpstr>Exp</vt:lpstr>
      <vt:lpstr>Position</vt:lpstr>
      <vt:lpstr>Obligations</vt:lpstr>
      <vt:lpstr>F-65 Cross-walk</vt:lpstr>
      <vt:lpstr>Breakdown of Public Safety</vt:lpstr>
      <vt:lpstr>Instructions!Citizens_Guide_Instructions</vt:lpstr>
      <vt:lpstr>'Data Input'!Print_Area</vt:lpstr>
      <vt:lpstr>Exp!Print_Area</vt:lpstr>
      <vt:lpstr>Obligations!Print_Area</vt:lpstr>
      <vt:lpstr>Position!Print_Area</vt:lpstr>
      <vt:lpstr>Rev!Print_Area</vt:lpstr>
      <vt:lpstr>'Data Input'!Print_Titles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Schafer, Suzanne K. (Treasury)</dc:creator>
  <cp:lastModifiedBy>Melanie Doughty</cp:lastModifiedBy>
  <cp:lastPrinted>2019-11-25T16:27:17Z</cp:lastPrinted>
  <dcterms:created xsi:type="dcterms:W3CDTF">2011-01-04T15:16:36Z</dcterms:created>
  <dcterms:modified xsi:type="dcterms:W3CDTF">2021-12-01T13:35:21Z</dcterms:modified>
</cp:coreProperties>
</file>